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65521" yWindow="65521" windowWidth="6000" windowHeight="6195" activeTab="0"/>
  </bookViews>
  <sheets>
    <sheet name="Proc datos brutos" sheetId="1" r:id="rId1"/>
    <sheet name="Presentación" sheetId="2" r:id="rId2"/>
  </sheets>
  <externalReferences>
    <externalReference r:id="rId5"/>
  </externalReferences>
  <definedNames>
    <definedName name="adiposo">'Proc datos brutos'!$U$4:$AC$8</definedName>
    <definedName name="adiposo_muscular">'Proc datos brutos'!$U$72:$AC$76</definedName>
    <definedName name="AF">'Proc datos brutos'!$P$2:$S$7</definedName>
    <definedName name="_xlnm.Print_Area" localSheetId="1">'Presentación'!$A$1:$K$236</definedName>
    <definedName name="_xlnm.Print_Area" localSheetId="0">'Proc datos brutos'!$A$1:$S$82</definedName>
    <definedName name="arq">'[1]Proc datos brutos'!$AH$3:$AJ$48</definedName>
    <definedName name="defcen">'[1]Proc datos brutos'!$AK$3:$AM$48</definedName>
    <definedName name="deflat">'[1]Proc datos brutos'!$AN$3:$AP$48</definedName>
    <definedName name="delcen">'[1]Proc datos brutos'!$AZ$3:$BB$48</definedName>
    <definedName name="dellat">'[1]Proc datos brutos'!$AW$3:$AY$48</definedName>
    <definedName name="depf">'Proc datos brutos'!$V$14:$Y$35</definedName>
    <definedName name="depm">'Proc datos brutos'!$Z$13:$AC$46</definedName>
    <definedName name="deps">'Proc datos brutos'!$AE$2:$AF$42</definedName>
    <definedName name="HTML_CodePage" hidden="1">1252</definedName>
    <definedName name="HTML_Control" hidden="1">{"'Proc datos brutos'!$A$2:$M$53"}</definedName>
    <definedName name="HTML_Description" hidden="1">""</definedName>
    <definedName name="HTML_Email" hidden="1">""</definedName>
    <definedName name="HTML_Header" hidden="1">"Proc datos brutos"</definedName>
    <definedName name="HTML_LastUpdate" hidden="1">"17/01/2000"</definedName>
    <definedName name="HTML_LineAfter" hidden="1">FALSE</definedName>
    <definedName name="HTML_LineBefore" hidden="1">FALSE</definedName>
    <definedName name="HTML_Name" hidden="1">"Francis Holway"</definedName>
    <definedName name="HTML_OBDlg2" hidden="1">TRUE</definedName>
    <definedName name="HTML_OBDlg4" hidden="1">TRUE</definedName>
    <definedName name="HTML_OS" hidden="1">0</definedName>
    <definedName name="HTML_PathFile" hidden="1">"C:\Mis documentos\HTML.htm"</definedName>
    <definedName name="HTML_Title" hidden="1">"proc datos brutos definitivo nuevo"</definedName>
    <definedName name="meddef">'[1]Proc datos brutos'!$AQ$3:$AS$48</definedName>
    <definedName name="medof">'[1]Proc datos brutos'!$AT$3:$AV$48</definedName>
    <definedName name="muscular">'Proc datos brutos'!$U$94:$AC$98</definedName>
    <definedName name="muscular_osea">'Proc datos brutos'!$U$83:$AC$87</definedName>
    <definedName name="posiciones">'[1]Proc datos brutos'!$BD$2:$BF$8</definedName>
  </definedNames>
  <calcPr fullCalcOnLoad="1"/>
</workbook>
</file>

<file path=xl/comments1.xml><?xml version="1.0" encoding="utf-8"?>
<comments xmlns="http://schemas.openxmlformats.org/spreadsheetml/2006/main">
  <authors>
    <author>Francis Holway</author>
  </authors>
  <commentList>
    <comment ref="I39" authorId="0">
      <text>
        <r>
          <rPr>
            <b/>
            <sz val="10"/>
            <rFont val="Comic Sans MS"/>
            <family val="4"/>
          </rPr>
          <t>No olvidarse de poner la Masa Osea de Referencia. Sólo en la primer medición.</t>
        </r>
        <r>
          <rPr>
            <sz val="8"/>
            <rFont val="Tahoma"/>
            <family val="0"/>
          </rPr>
          <t xml:space="preserve">
</t>
        </r>
      </text>
    </comment>
    <comment ref="I2" authorId="0">
      <text>
        <r>
          <rPr>
            <b/>
            <sz val="10"/>
            <rFont val="Comic Sans MS"/>
            <family val="4"/>
          </rPr>
          <t>No olvidarse del número según el sexo.</t>
        </r>
      </text>
    </comment>
  </commentList>
</comments>
</file>

<file path=xl/sharedStrings.xml><?xml version="1.0" encoding="utf-8"?>
<sst xmlns="http://schemas.openxmlformats.org/spreadsheetml/2006/main" count="651" uniqueCount="455">
  <si>
    <t>Variable</t>
  </si>
  <si>
    <t>serie 1</t>
  </si>
  <si>
    <t>serie 2</t>
  </si>
  <si>
    <t>serie 3</t>
  </si>
  <si>
    <t>desvio std</t>
  </si>
  <si>
    <t>error %</t>
  </si>
  <si>
    <t>serie 4</t>
  </si>
  <si>
    <t>serie 5</t>
  </si>
  <si>
    <t>Biacromial</t>
  </si>
  <si>
    <t>Tórax Transverso</t>
  </si>
  <si>
    <t>Tórax Antero-posterior</t>
  </si>
  <si>
    <t>Bi-iliocrestídeo</t>
  </si>
  <si>
    <t>Humeral (biepicondilar)</t>
  </si>
  <si>
    <t>Femoral (biepicondilar)</t>
  </si>
  <si>
    <t>Cabeza</t>
  </si>
  <si>
    <t>Brazo Relajado</t>
  </si>
  <si>
    <t>Brazo Flexionado en Tensión</t>
  </si>
  <si>
    <t>Antebrazo Máximo</t>
  </si>
  <si>
    <t>Cintura (mínima)</t>
  </si>
  <si>
    <t>Cadera (máximo)</t>
  </si>
  <si>
    <t>Muslo (máximo)</t>
  </si>
  <si>
    <t>Muslo (medial)</t>
  </si>
  <si>
    <t>Pantorrilla (máxima)</t>
  </si>
  <si>
    <t>Supraespinal</t>
  </si>
  <si>
    <t>Abdominal</t>
  </si>
  <si>
    <t>Tórax Mesoesternal</t>
  </si>
  <si>
    <t>Peso Bruto (Kg)</t>
  </si>
  <si>
    <t>Talla Corporal (cm)</t>
  </si>
  <si>
    <t>Talla Sentado (cm)</t>
  </si>
  <si>
    <t xml:space="preserve">Subescapular </t>
  </si>
  <si>
    <t xml:space="preserve">Tríceps </t>
  </si>
  <si>
    <t>DATOS BÁSICOS</t>
  </si>
  <si>
    <t>DIÁMETROS (cm)</t>
  </si>
  <si>
    <t>PERÍMETROS (cm)</t>
  </si>
  <si>
    <t>PLIEGUES CUTÁNEOS (mm)</t>
  </si>
  <si>
    <t>Nombre:</t>
  </si>
  <si>
    <t>Fecha:</t>
  </si>
  <si>
    <t>grosor piel masculino</t>
  </si>
  <si>
    <t>grosor piel femenino</t>
  </si>
  <si>
    <t>Masa de la Piel</t>
  </si>
  <si>
    <t>Edad:</t>
  </si>
  <si>
    <t>const. A.S. Masc. &gt; 12 años</t>
  </si>
  <si>
    <t>const. A.S. Fem. &gt; 12 años</t>
  </si>
  <si>
    <t>const. A.S. &lt; 12 años</t>
  </si>
  <si>
    <t>Area Superficial</t>
  </si>
  <si>
    <t>constante</t>
  </si>
  <si>
    <t>Sexo (m=1;f=2):</t>
  </si>
  <si>
    <t>grosor piel</t>
  </si>
  <si>
    <t>Masa de la Piel (Kg):</t>
  </si>
  <si>
    <t>Masa Adiposa</t>
  </si>
  <si>
    <t>Suma 6 pliegues:</t>
  </si>
  <si>
    <t>Score Z adiposa:</t>
  </si>
  <si>
    <t>Masa Adiposa (Kg):</t>
  </si>
  <si>
    <t>Masa Muscular</t>
  </si>
  <si>
    <t>per. Brazo corregido</t>
  </si>
  <si>
    <t>per. Antebrazo</t>
  </si>
  <si>
    <t>per. Muslo corregido</t>
  </si>
  <si>
    <t>per. Pantorrilla corregido</t>
  </si>
  <si>
    <t>per. Tórax corregido</t>
  </si>
  <si>
    <t>Score Z muscular:</t>
  </si>
  <si>
    <t>Suma perímetros corregidos:</t>
  </si>
  <si>
    <t>Masa Muscular (Kg):</t>
  </si>
  <si>
    <t>Masa Residual</t>
  </si>
  <si>
    <t>per. Cintura corregido</t>
  </si>
  <si>
    <t>Suma de tórax</t>
  </si>
  <si>
    <t>Score Z residual:</t>
  </si>
  <si>
    <t>Masa Residual (Kg):</t>
  </si>
  <si>
    <t>Masa Ósea</t>
  </si>
  <si>
    <t>Score Z cabeza:</t>
  </si>
  <si>
    <t>Suma de Diámetros:</t>
  </si>
  <si>
    <t>Masa ósea Cabeza (Kg):</t>
  </si>
  <si>
    <t>Score Z ósea cuerpo:</t>
  </si>
  <si>
    <t>Masa Ósea Cuerpo (Kg):</t>
  </si>
  <si>
    <t>Masa Ósea Total (Kg):</t>
  </si>
  <si>
    <t>Peso Estructurado (Kg):</t>
  </si>
  <si>
    <t>Diferencia P.E. - Peso Bruto:</t>
  </si>
  <si>
    <t>% de diferencia:</t>
  </si>
  <si>
    <t>%</t>
  </si>
  <si>
    <t>Ajustes</t>
  </si>
  <si>
    <t>Kg</t>
  </si>
  <si>
    <t>Ajuste Masa Ósea</t>
  </si>
  <si>
    <t>Masa ósea de referencia</t>
  </si>
  <si>
    <t>Suma de 4 masas</t>
  </si>
  <si>
    <t>Nuevos porcentajes</t>
  </si>
  <si>
    <t>Adiposo</t>
  </si>
  <si>
    <t>Muscular</t>
  </si>
  <si>
    <t>Residual</t>
  </si>
  <si>
    <t>Piel</t>
  </si>
  <si>
    <t>Suma de % de 4 masas</t>
  </si>
  <si>
    <t>Masas re-ajustadas:</t>
  </si>
  <si>
    <t>Adiposa</t>
  </si>
  <si>
    <t>Ósea</t>
  </si>
  <si>
    <t>MOR - MOActual</t>
  </si>
  <si>
    <t>Suma  de 5 m. Corr.</t>
  </si>
  <si>
    <t>Índices:</t>
  </si>
  <si>
    <t>Óseo</t>
  </si>
  <si>
    <t>Musc/Óseo</t>
  </si>
  <si>
    <t>Musc/Lastre</t>
  </si>
  <si>
    <t>Lastre</t>
  </si>
  <si>
    <t>Masa Total</t>
  </si>
  <si>
    <t>superficie muscular brazo</t>
  </si>
  <si>
    <t>superficie adiposa brazo</t>
  </si>
  <si>
    <t>superficie muscular antebrazo</t>
  </si>
  <si>
    <t>superficie residual abdominal</t>
  </si>
  <si>
    <t>superficie adiposa abdominal</t>
  </si>
  <si>
    <t>superficie muscular muslo</t>
  </si>
  <si>
    <t>superficie adiposa muslo</t>
  </si>
  <si>
    <t>superficie muscular pantorrilla</t>
  </si>
  <si>
    <t>superficie adiposa pantorrilla</t>
  </si>
  <si>
    <t>supeficie adiposa antebrazo</t>
  </si>
  <si>
    <t>% diferencia</t>
  </si>
  <si>
    <t>evaluación</t>
  </si>
  <si>
    <t>actual</t>
  </si>
  <si>
    <t>anterior</t>
  </si>
  <si>
    <t xml:space="preserve"> ad pant</t>
  </si>
  <si>
    <t xml:space="preserve"> mus pant</t>
  </si>
  <si>
    <t xml:space="preserve"> ad muslo</t>
  </si>
  <si>
    <t xml:space="preserve"> mu muslo</t>
  </si>
  <si>
    <t xml:space="preserve"> adip abd</t>
  </si>
  <si>
    <t xml:space="preserve"> res abd</t>
  </si>
  <si>
    <t xml:space="preserve"> ad antebr</t>
  </si>
  <si>
    <t xml:space="preserve"> mu anteb</t>
  </si>
  <si>
    <t xml:space="preserve"> ad brazo</t>
  </si>
  <si>
    <t xml:space="preserve"> mu brazo</t>
  </si>
  <si>
    <t>Areas Cross-Seccionales</t>
  </si>
  <si>
    <t>Fecha de Nac.</t>
  </si>
  <si>
    <t>BASICOS</t>
  </si>
  <si>
    <t>Peso (kg)</t>
  </si>
  <si>
    <t>Talla (cm)</t>
  </si>
  <si>
    <t>Talla sentado (cm)</t>
  </si>
  <si>
    <t>Resultados</t>
  </si>
  <si>
    <t>Score-Z</t>
  </si>
  <si>
    <t>Tórax Anteroposterior</t>
  </si>
  <si>
    <t>Antebrazo</t>
  </si>
  <si>
    <t>Caderas (máxima)</t>
  </si>
  <si>
    <t>Tríceps</t>
  </si>
  <si>
    <t>Subescapular</t>
  </si>
  <si>
    <t>Pantorrilla</t>
  </si>
  <si>
    <t>Valor Ajustado</t>
  </si>
  <si>
    <t>PLIEGUES CUTANEOS (mm)</t>
  </si>
  <si>
    <t>PERIMETROS (cm)</t>
  </si>
  <si>
    <t>DIAMETROS (cm)</t>
  </si>
  <si>
    <t>Porcentaje</t>
  </si>
  <si>
    <t>FRACCIONAMIENTO 5 COMPONENTES (D. Kerr, 1988)</t>
  </si>
  <si>
    <t>Muslo (superior)</t>
  </si>
  <si>
    <t>Muslo Medial</t>
  </si>
  <si>
    <t>Somatotipo de Heath &amp; Carter (1990)</t>
  </si>
  <si>
    <t>Endomorphy</t>
  </si>
  <si>
    <t>Sum SF</t>
  </si>
  <si>
    <t>Mesomorphy</t>
  </si>
  <si>
    <t>Ectomorphy</t>
  </si>
  <si>
    <t>HWR</t>
  </si>
  <si>
    <t>Metabolismo Basal</t>
  </si>
  <si>
    <t>Harris - Benedict (1919)</t>
  </si>
  <si>
    <t>Bogardus &amp; Ravussin (1989)</t>
  </si>
  <si>
    <t>Cunningham (1991)</t>
  </si>
  <si>
    <t>Body Surface Area (m^2)</t>
  </si>
  <si>
    <t>(Du Bois, 1916)</t>
  </si>
  <si>
    <t>Ponderal Index</t>
  </si>
  <si>
    <t>Kleiber (1975)</t>
  </si>
  <si>
    <t>BMR Surface Area (kcal/hr)</t>
  </si>
  <si>
    <t>Sedent.</t>
  </si>
  <si>
    <t>mediana</t>
  </si>
  <si>
    <t>EJES</t>
  </si>
  <si>
    <t>Diferencias con anterior</t>
  </si>
  <si>
    <t>Antropometrista:</t>
  </si>
  <si>
    <t>Dif.</t>
  </si>
  <si>
    <t>Número de medición:</t>
  </si>
  <si>
    <t>Suma de 6 pliegues:</t>
  </si>
  <si>
    <t>Indice cintura/cadera:</t>
  </si>
  <si>
    <t>FRACCIONAMIENTO 5 MASAS</t>
  </si>
  <si>
    <t>METODOS Y HERRAMIENTAS</t>
  </si>
  <si>
    <r>
      <t xml:space="preserve">Protocolo de medición: </t>
    </r>
    <r>
      <rPr>
        <b/>
        <sz val="10"/>
        <color indexed="19"/>
        <rFont val="Garamond"/>
        <family val="1"/>
      </rPr>
      <t>ISAK</t>
    </r>
  </si>
  <si>
    <t>MEDICION ANTERIOR</t>
  </si>
  <si>
    <r>
      <t xml:space="preserve">Calibres y Segmómetros: </t>
    </r>
    <r>
      <rPr>
        <b/>
        <sz val="10"/>
        <color indexed="19"/>
        <rFont val="Garamond"/>
        <family val="1"/>
      </rPr>
      <t>Rosscraft</t>
    </r>
  </si>
  <si>
    <r>
      <t xml:space="preserve">Cinta: </t>
    </r>
    <r>
      <rPr>
        <b/>
        <sz val="10"/>
        <color indexed="19"/>
        <rFont val="Garamond"/>
        <family val="1"/>
      </rPr>
      <t>Lufkin</t>
    </r>
  </si>
  <si>
    <r>
      <t xml:space="preserve">Balanza: </t>
    </r>
    <r>
      <rPr>
        <b/>
        <sz val="10"/>
        <color indexed="19"/>
        <rFont val="Garamond"/>
        <family val="1"/>
      </rPr>
      <t>Cam</t>
    </r>
  </si>
  <si>
    <t>MASAS CORPORALES</t>
  </si>
  <si>
    <t>Informe de
Composición Corporal</t>
  </si>
  <si>
    <t>Phantom Score-Z</t>
  </si>
  <si>
    <t>INDICE CINTURA CADERA</t>
  </si>
  <si>
    <t>Riesgo</t>
  </si>
  <si>
    <t>Edad</t>
  </si>
  <si>
    <t>Bajo</t>
  </si>
  <si>
    <t>Moderado</t>
  </si>
  <si>
    <t>Alto</t>
  </si>
  <si>
    <t>Muy alto</t>
  </si>
  <si>
    <t>Hombres</t>
  </si>
  <si>
    <t>20-29</t>
  </si>
  <si>
    <t>30-39</t>
  </si>
  <si>
    <t>40-49</t>
  </si>
  <si>
    <t>50-59</t>
  </si>
  <si>
    <t>60-69</t>
  </si>
  <si>
    <t>Mujeres</t>
  </si>
  <si>
    <t>0.83-0.88</t>
  </si>
  <si>
    <t>0.84-0.91</t>
  </si>
  <si>
    <t>0.88-0.95</t>
  </si>
  <si>
    <t>0.90-0.96</t>
  </si>
  <si>
    <t>0.91-0.98</t>
  </si>
  <si>
    <t>0.71-0.77</t>
  </si>
  <si>
    <t>0.72-0.78</t>
  </si>
  <si>
    <t>0.73-0.79</t>
  </si>
  <si>
    <t>0.74-0.81</t>
  </si>
  <si>
    <t>0.76-0.83</t>
  </si>
  <si>
    <t>0.89-0.94</t>
  </si>
  <si>
    <t>0.92-0.96</t>
  </si>
  <si>
    <t>0.96-1.00</t>
  </si>
  <si>
    <t>0.97-1.02</t>
  </si>
  <si>
    <t>0.99-1.03</t>
  </si>
  <si>
    <t>0.78-0.82</t>
  </si>
  <si>
    <t>0.79-0.84</t>
  </si>
  <si>
    <t>0.80-0.87</t>
  </si>
  <si>
    <t>0.82-0.88</t>
  </si>
  <si>
    <t>0.84-0.90</t>
  </si>
  <si>
    <t>&lt;0.83</t>
  </si>
  <si>
    <t>&lt;0.84</t>
  </si>
  <si>
    <t>&lt;0.88</t>
  </si>
  <si>
    <t>&lt;0.90</t>
  </si>
  <si>
    <t>&lt;0.91</t>
  </si>
  <si>
    <t>&lt;0.71</t>
  </si>
  <si>
    <t>&lt;0.72</t>
  </si>
  <si>
    <t>&lt;0.73</t>
  </si>
  <si>
    <t>&lt;0.74</t>
  </si>
  <si>
    <t>&lt;0.76</t>
  </si>
  <si>
    <t>&gt;0.94</t>
  </si>
  <si>
    <t>&gt;0.96</t>
  </si>
  <si>
    <t>&gt;1.00</t>
  </si>
  <si>
    <t>&gt;1.02</t>
  </si>
  <si>
    <t>&gt;1.03</t>
  </si>
  <si>
    <t>&gt;0.82</t>
  </si>
  <si>
    <t>&gt;0.84</t>
  </si>
  <si>
    <t>&gt;0.87</t>
  </si>
  <si>
    <t>&gt;0.88</t>
  </si>
  <si>
    <t>&gt;0.90</t>
  </si>
  <si>
    <t>BSA (Body Surface Area):</t>
  </si>
  <si>
    <t>Es un punto de referencia para personas, ajustando por talla, como si todos midiesen 170,18 cm de altura. Cada variable está en proporción a esta talla, y el promedio de la muestra se ubica en el medio, sobre el valor "0", y la escala es en desvíos estándar. Entre el -1 y el +1 desvío estándar se ubicaron el 68% de los valores de la muestra, entre el -2 y el +2% el 95,5%, y entre el -3 y +3 el 99,7%.</t>
  </si>
  <si>
    <t>("grasa subcutánea")</t>
  </si>
  <si>
    <t>(músculo)</t>
  </si>
  <si>
    <t>(vísceras, órganos, pulmones)</t>
  </si>
  <si>
    <t>(huesos)</t>
  </si>
  <si>
    <t>(piel)</t>
  </si>
  <si>
    <t>El organismo es el resultado de la interacción entre nuestra herencia genética y hábitos nutricionales y de actividad física.</t>
  </si>
  <si>
    <t>Una alimentación sana y balanceada, en conjunto con una actividad física planificada, asegurarán cantidades de tejido adiposo y muscular ideales para los patrones genéticos predeterminados.</t>
  </si>
  <si>
    <t>MASAS ESPECÍFICAS PARA EL DEPORTE</t>
  </si>
  <si>
    <t>Diferentes deportes requieren masas musculares, óseas y adiposas en cantidades específicas. En consecuencia, la interpretación de las mismas debe realizarse por un profesional con conocimientos del área.</t>
  </si>
  <si>
    <t>Peso ideal:</t>
  </si>
  <si>
    <t>Ajuste por sobrepeso</t>
  </si>
  <si>
    <t>Diferencia:</t>
  </si>
  <si>
    <t>Masa muscular extra:</t>
  </si>
  <si>
    <t>Peso para cálculo de metabolismo basal:</t>
  </si>
  <si>
    <t>Metabolismo Basal (MB): (Harris &amp; Benedict, 1919)</t>
  </si>
  <si>
    <t>Gasto energético total estimado:</t>
  </si>
  <si>
    <t>Kcals.</t>
  </si>
  <si>
    <t>N°medición:</t>
  </si>
  <si>
    <t>CATEGORIA</t>
  </si>
  <si>
    <t>MUJERES</t>
  </si>
  <si>
    <t>HOMBRES</t>
  </si>
  <si>
    <t>A</t>
  </si>
  <si>
    <t>B</t>
  </si>
  <si>
    <t>D</t>
  </si>
  <si>
    <t>E</t>
  </si>
  <si>
    <t>C</t>
  </si>
  <si>
    <t>CODIGO</t>
  </si>
  <si>
    <t>F</t>
  </si>
  <si>
    <t>:</t>
  </si>
  <si>
    <t>Nivel de actividad física:</t>
  </si>
  <si>
    <t>PORCENTAJES DE TEJIDO ADIPOSO</t>
  </si>
  <si>
    <t>Elevado</t>
  </si>
  <si>
    <t>Muy elevado</t>
  </si>
  <si>
    <r>
      <t xml:space="preserve">Estimación del
gasto energético
</t>
    </r>
    <r>
      <rPr>
        <b/>
        <sz val="16"/>
        <rFont val="Garamond"/>
        <family val="1"/>
      </rPr>
      <t>-Predicción del peso ideal-</t>
    </r>
  </si>
  <si>
    <t>î</t>
  </si>
  <si>
    <t xml:space="preserve">1-  Adiposo </t>
  </si>
  <si>
    <t>2-  Muscular</t>
  </si>
  <si>
    <t>3-  Residual</t>
  </si>
  <si>
    <t>4-  Oseo</t>
  </si>
  <si>
    <t>5-  Cutáneo</t>
  </si>
  <si>
    <t>COMPOSICION CORPORAL IDEAL (Clasificación según datos del laboratorio de Biosystem)</t>
  </si>
  <si>
    <t>El BOTON sólo se presiona si es la SEGUNDA vez que se atiende al paciente.</t>
  </si>
  <si>
    <t>No se olviden de completar los datos en las celdas amarillas.</t>
  </si>
  <si>
    <t>Peso ideal en adultos según parámetros OMS (1985):</t>
  </si>
  <si>
    <t>Sedentaria</t>
  </si>
  <si>
    <t>Liviana</t>
  </si>
  <si>
    <t>Moderada</t>
  </si>
  <si>
    <t>Intensa</t>
  </si>
  <si>
    <t>Extremada</t>
  </si>
  <si>
    <t>Incorrecta</t>
  </si>
  <si>
    <t>Errror técnico de medición del antropometrista:</t>
  </si>
  <si>
    <r>
      <t xml:space="preserve"> </t>
    </r>
    <r>
      <rPr>
        <sz val="16"/>
        <rFont val="Wingdings"/>
        <family val="0"/>
      </rPr>
      <t>@</t>
    </r>
    <r>
      <rPr>
        <b/>
        <sz val="10"/>
        <rFont val="Garamond"/>
        <family val="1"/>
      </rPr>
      <t>NOTA</t>
    </r>
    <r>
      <rPr>
        <sz val="10"/>
        <rFont val="Garamond"/>
        <family val="1"/>
      </rPr>
      <t>: Una masa muscular disminuída elevará la fracción percentil de tejido adiposo en relación al peso total.</t>
    </r>
  </si>
  <si>
    <t>Deportista</t>
  </si>
  <si>
    <t>Recreacional</t>
  </si>
  <si>
    <t>Hombre</t>
  </si>
  <si>
    <t>Mujer</t>
  </si>
  <si>
    <t>PESO IDEAL</t>
  </si>
  <si>
    <r>
      <t xml:space="preserve">Los promedios y desvíos estándar del humano de referencia unisex </t>
    </r>
    <r>
      <rPr>
        <b/>
        <sz val="10"/>
        <rFont val="Garamond"/>
        <family val="1"/>
      </rPr>
      <t xml:space="preserve">PHANTOM </t>
    </r>
    <r>
      <rPr>
        <sz val="10"/>
        <rFont val="Garamond"/>
        <family val="1"/>
      </rPr>
      <t>son el resultado de miles de datos tomados de varios grupos poblacionales (ancianos, jóvenes, deportistas, sedentarios, mujeres, hombres). NO ES EL PROMEDIO IDEAL!!!</t>
    </r>
  </si>
  <si>
    <r>
      <t>Depo/Recrea (</t>
    </r>
    <r>
      <rPr>
        <b/>
        <sz val="10"/>
        <rFont val="Arial"/>
        <family val="2"/>
      </rPr>
      <t>D</t>
    </r>
    <r>
      <rPr>
        <sz val="10"/>
        <rFont val="Arial"/>
        <family val="2"/>
      </rPr>
      <t>/</t>
    </r>
    <r>
      <rPr>
        <b/>
        <sz val="10"/>
        <rFont val="Arial"/>
        <family val="2"/>
      </rPr>
      <t>R</t>
    </r>
    <r>
      <rPr>
        <sz val="10"/>
        <rFont val="Arial"/>
        <family val="2"/>
      </rPr>
      <t>):</t>
    </r>
  </si>
  <si>
    <t>NIVEL DE ACTIVIDAD FÍSICA (OMS, 1985)</t>
  </si>
  <si>
    <r>
      <t xml:space="preserve">El </t>
    </r>
    <r>
      <rPr>
        <b/>
        <sz val="10"/>
        <rFont val="Garamond"/>
        <family val="1"/>
      </rPr>
      <t>fraccionamiento corporal en 5 componentes</t>
    </r>
    <r>
      <rPr>
        <sz val="10"/>
        <rFont val="Garamond"/>
        <family val="1"/>
      </rPr>
      <t xml:space="preserve"> (D. Kerr, 1988) es un modelo anatómico basado en estudios antropométricos con disección de cadáveres. Es en la actualidad, a pesar de sus limitaciones, el único modelo con validación directa. Lamentablemente, la gran variabilidad de la compresibilidad del tejido adiposo genera la principal fuente de error en la predicción de esta masa al utilizar calibres para pliegues cutáneos. </t>
    </r>
    <r>
      <rPr>
        <b/>
        <sz val="10"/>
        <rFont val="Garamond"/>
        <family val="1"/>
      </rPr>
      <t>Con este modelo, el cuerpo se fracciona en 5 tejidos</t>
    </r>
    <r>
      <rPr>
        <sz val="10"/>
        <rFont val="Garamond"/>
        <family val="1"/>
      </rPr>
      <t>:</t>
    </r>
  </si>
  <si>
    <r>
      <t xml:space="preserve">Porcentaje de diferencia </t>
    </r>
    <r>
      <rPr>
        <sz val="10"/>
        <color indexed="17"/>
        <rFont val="Monotype Sorts"/>
        <family val="0"/>
      </rPr>
      <t>î</t>
    </r>
    <r>
      <rPr>
        <b/>
        <sz val="10"/>
        <color indexed="17"/>
        <rFont val="Garamond"/>
        <family val="1"/>
      </rPr>
      <t xml:space="preserve"> Peso Estructurado - Peso Bruto:</t>
    </r>
  </si>
  <si>
    <t>Indice músculo/óseo:</t>
  </si>
  <si>
    <t>Indice masa corporal:</t>
  </si>
  <si>
    <t>Los datos de la tabla se basan en:</t>
  </si>
  <si>
    <t>minimo</t>
  </si>
  <si>
    <t>maximo</t>
  </si>
  <si>
    <t>Porcentajes</t>
  </si>
  <si>
    <t>En Kilogramos</t>
  </si>
  <si>
    <t>&lt;</t>
  </si>
  <si>
    <t>&gt;</t>
  </si>
  <si>
    <r>
      <t xml:space="preserve">î </t>
    </r>
    <r>
      <rPr>
        <sz val="10"/>
        <rFont val="Garamond"/>
        <family val="1"/>
      </rPr>
      <t>Sexo:</t>
    </r>
  </si>
  <si>
    <r>
      <t xml:space="preserve">î </t>
    </r>
    <r>
      <rPr>
        <sz val="10"/>
        <rFont val="Garamond"/>
        <family val="1"/>
      </rPr>
      <t>Actividad:</t>
    </r>
  </si>
  <si>
    <t>kg</t>
  </si>
  <si>
    <t>DATOS ADICIONALES</t>
  </si>
  <si>
    <r>
      <t>Kg/m</t>
    </r>
    <r>
      <rPr>
        <vertAlign val="superscript"/>
        <sz val="10"/>
        <rFont val="Garamond"/>
        <family val="1"/>
      </rPr>
      <t>2</t>
    </r>
  </si>
  <si>
    <t>Talla sentado/talla:</t>
  </si>
  <si>
    <t>BSA/BM:</t>
  </si>
  <si>
    <r>
      <t>m</t>
    </r>
    <r>
      <rPr>
        <vertAlign val="superscript"/>
        <sz val="10"/>
        <rFont val="Garamond"/>
        <family val="1"/>
      </rPr>
      <t>2</t>
    </r>
  </si>
  <si>
    <t>METABOLISMO BASAL</t>
  </si>
  <si>
    <t>Antropometrista</t>
  </si>
  <si>
    <t>Porc.error de medicion del antrop.</t>
  </si>
  <si>
    <t>No se olviden de completar el porcentaje de error de medición. Si no ponen nada aparecerá por defecto 2%.</t>
  </si>
  <si>
    <t>MODELO DE PROPORCIONALIDAD PHANTOM</t>
  </si>
  <si>
    <r>
      <t>cm</t>
    </r>
    <r>
      <rPr>
        <vertAlign val="superscript"/>
        <sz val="10"/>
        <rFont val="Garamond"/>
        <family val="1"/>
      </rPr>
      <t>2</t>
    </r>
    <r>
      <rPr>
        <sz val="10"/>
        <rFont val="Garamond"/>
        <family val="1"/>
      </rPr>
      <t>/kg</t>
    </r>
  </si>
  <si>
    <r>
      <t xml:space="preserve">Es un </t>
    </r>
    <r>
      <rPr>
        <b/>
        <sz val="10"/>
        <rFont val="Garamond"/>
        <family val="1"/>
      </rPr>
      <t xml:space="preserve">índice de la adiposidad intra-abdominal </t>
    </r>
    <r>
      <rPr>
        <sz val="10"/>
        <rFont val="Garamond"/>
        <family val="1"/>
      </rPr>
      <t>(grasa visceral), que está asociado al riesgo de padecer enfermedades cardiovasculares (Bray, 1992), accidente cerebro-vascular y diabetes tipo II (Ducimetiere et al., 1986; Ohlson et al., 1985).</t>
    </r>
  </si>
  <si>
    <t>Rango</t>
  </si>
  <si>
    <t>Deportes para la somatocarta</t>
  </si>
  <si>
    <t>Deportes</t>
  </si>
  <si>
    <t>Endo</t>
  </si>
  <si>
    <t>Meso</t>
  </si>
  <si>
    <t>Ecto</t>
  </si>
  <si>
    <t>Baminton</t>
  </si>
  <si>
    <t>Arq</t>
  </si>
  <si>
    <t>Australian Rules</t>
  </si>
  <si>
    <t>Cricket</t>
  </si>
  <si>
    <t>Espalda 200 m</t>
  </si>
  <si>
    <t>DefCen</t>
  </si>
  <si>
    <t>Espalda 50+100 m</t>
  </si>
  <si>
    <t>DefLat</t>
  </si>
  <si>
    <t>Freestyle 200+400 m</t>
  </si>
  <si>
    <t>DelCen</t>
  </si>
  <si>
    <t>Freestyle 50+100 m</t>
  </si>
  <si>
    <t>DelLat</t>
  </si>
  <si>
    <t>Freestyle 800 m</t>
  </si>
  <si>
    <t>Hockey</t>
  </si>
  <si>
    <t>Lacrosse</t>
  </si>
  <si>
    <t>Larga distancia</t>
  </si>
  <si>
    <t>Mariposa 200 m</t>
  </si>
  <si>
    <t>Mariposa 50+100 m</t>
  </si>
  <si>
    <t>Medley 200+400 m</t>
  </si>
  <si>
    <t>Netball</t>
  </si>
  <si>
    <t>Pecho 200 m</t>
  </si>
  <si>
    <t>Pecho 50+100 m</t>
  </si>
  <si>
    <t>Squash</t>
  </si>
  <si>
    <t>MedDef</t>
  </si>
  <si>
    <t>Ninguno</t>
  </si>
  <si>
    <t>MedOf</t>
  </si>
  <si>
    <t>Rugby Union</t>
  </si>
  <si>
    <t>Futbol - Posición: Arquero</t>
  </si>
  <si>
    <t>Futbol - Posición: Defensor Central</t>
  </si>
  <si>
    <t>Futbol - Posición: Defensor Lateral</t>
  </si>
  <si>
    <t>Futbol - Posición: Delantero Central</t>
  </si>
  <si>
    <t>Futbol - Posición: Delantero Lateral</t>
  </si>
  <si>
    <t>Natación - Espalda 200 m</t>
  </si>
  <si>
    <t>Natación - Espalda 50+100 m</t>
  </si>
  <si>
    <t>Natación - Freestyle 1500 m</t>
  </si>
  <si>
    <t>Natación - Freestyle 200+400 m</t>
  </si>
  <si>
    <t>Natación - Freestyle 50+100 m</t>
  </si>
  <si>
    <t>Natación - Freestyle 800 m</t>
  </si>
  <si>
    <t>Natación - Mariposa 200 m</t>
  </si>
  <si>
    <t>Natación - Mariposa 50+100 m</t>
  </si>
  <si>
    <t>Futbol - Posición: Medio Defensivo</t>
  </si>
  <si>
    <t>Natación - Medley 200+400 m</t>
  </si>
  <si>
    <t>Futbol - Posición: Medio Ofensivo</t>
  </si>
  <si>
    <t>Natación - Pecho 200 m</t>
  </si>
  <si>
    <t>Natación - Pecho 50+100 m</t>
  </si>
  <si>
    <t>Deporte:</t>
  </si>
  <si>
    <t>Act.física:</t>
  </si>
  <si>
    <t>170,18 / altura en cm:</t>
  </si>
  <si>
    <t>Sumatoria de pliegues:</t>
  </si>
  <si>
    <t>Sumatoria SF (sum.SF):</t>
  </si>
  <si>
    <t>HWR:</t>
  </si>
  <si>
    <t>raíz cúbica del peso:</t>
  </si>
  <si>
    <t>Endomorfo</t>
  </si>
  <si>
    <t>Mesomorfo</t>
  </si>
  <si>
    <t>Ectomorfo</t>
  </si>
  <si>
    <t>per.correg. pantorrilla:</t>
  </si>
  <si>
    <t>per.correg. brazo:</t>
  </si>
  <si>
    <t>SOMATOCARTA</t>
  </si>
  <si>
    <t>ENDO</t>
  </si>
  <si>
    <t>MESO</t>
  </si>
  <si>
    <t>ECTO</t>
  </si>
  <si>
    <t>ESCALA DE RATING Y CARACTERÍSTICAS
(Carter y Heath, 1990)</t>
  </si>
  <si>
    <t>RATING DE SOMATOTIPO</t>
  </si>
  <si>
    <t>COMPARACION CON DEPORTE</t>
  </si>
  <si>
    <t>Considerando que el deporte que ud. practica es:</t>
  </si>
  <si>
    <t>El rating de somatotipo correspondiente a dicho deporte es:</t>
  </si>
  <si>
    <t>X (ecto-endo):</t>
  </si>
  <si>
    <t>Y (2*meso-(ecto+endo)):</t>
  </si>
  <si>
    <t>x:</t>
  </si>
  <si>
    <t>y:</t>
  </si>
  <si>
    <t>sexo:</t>
  </si>
  <si>
    <r>
      <t xml:space="preserve">Somatotipo de Heath &amp; Carter
</t>
    </r>
    <r>
      <rPr>
        <b/>
        <sz val="16"/>
        <rFont val="Garamond"/>
        <family val="1"/>
      </rPr>
      <t>(1990)</t>
    </r>
  </si>
  <si>
    <r>
      <t>1     1</t>
    </r>
    <r>
      <rPr>
        <b/>
        <vertAlign val="superscript"/>
        <sz val="9"/>
        <rFont val="Arial Narrow"/>
        <family val="2"/>
      </rPr>
      <t>1</t>
    </r>
    <r>
      <rPr>
        <b/>
        <sz val="9"/>
        <rFont val="Arial Narrow"/>
        <family val="2"/>
      </rPr>
      <t>/</t>
    </r>
    <r>
      <rPr>
        <b/>
        <vertAlign val="subscript"/>
        <sz val="9"/>
        <rFont val="Arial Narrow"/>
        <family val="2"/>
      </rPr>
      <t xml:space="preserve">2    </t>
    </r>
    <r>
      <rPr>
        <b/>
        <sz val="9"/>
        <rFont val="Arial Narrow"/>
        <family val="2"/>
      </rPr>
      <t xml:space="preserve"> 2     2</t>
    </r>
    <r>
      <rPr>
        <b/>
        <vertAlign val="superscript"/>
        <sz val="9"/>
        <rFont val="Arial Narrow"/>
        <family val="2"/>
      </rPr>
      <t>1</t>
    </r>
    <r>
      <rPr>
        <b/>
        <sz val="9"/>
        <rFont val="Arial Narrow"/>
        <family val="2"/>
      </rPr>
      <t>/</t>
    </r>
    <r>
      <rPr>
        <b/>
        <vertAlign val="subscript"/>
        <sz val="9"/>
        <rFont val="Arial Narrow"/>
        <family val="2"/>
      </rPr>
      <t>2</t>
    </r>
  </si>
  <si>
    <r>
      <t>3    3</t>
    </r>
    <r>
      <rPr>
        <b/>
        <vertAlign val="superscript"/>
        <sz val="9"/>
        <rFont val="Arial Narrow"/>
        <family val="2"/>
      </rPr>
      <t>1</t>
    </r>
    <r>
      <rPr>
        <b/>
        <sz val="9"/>
        <rFont val="Arial Narrow"/>
        <family val="2"/>
      </rPr>
      <t>/</t>
    </r>
    <r>
      <rPr>
        <b/>
        <vertAlign val="subscript"/>
        <sz val="9"/>
        <rFont val="Arial Narrow"/>
        <family val="2"/>
      </rPr>
      <t xml:space="preserve">2   </t>
    </r>
    <r>
      <rPr>
        <b/>
        <sz val="9"/>
        <rFont val="Arial Narrow"/>
        <family val="2"/>
      </rPr>
      <t xml:space="preserve"> 4    4</t>
    </r>
    <r>
      <rPr>
        <b/>
        <vertAlign val="superscript"/>
        <sz val="9"/>
        <rFont val="Arial Narrow"/>
        <family val="2"/>
      </rPr>
      <t>1</t>
    </r>
    <r>
      <rPr>
        <b/>
        <sz val="9"/>
        <rFont val="Arial Narrow"/>
        <family val="2"/>
      </rPr>
      <t>/</t>
    </r>
    <r>
      <rPr>
        <b/>
        <vertAlign val="subscript"/>
        <sz val="9"/>
        <rFont val="Arial Narrow"/>
        <family val="2"/>
      </rPr>
      <t xml:space="preserve">2    </t>
    </r>
    <r>
      <rPr>
        <b/>
        <sz val="9"/>
        <rFont val="Arial Narrow"/>
        <family val="2"/>
      </rPr>
      <t>5</t>
    </r>
  </si>
  <si>
    <r>
      <t>5</t>
    </r>
    <r>
      <rPr>
        <b/>
        <vertAlign val="superscript"/>
        <sz val="9"/>
        <rFont val="Arial Narrow"/>
        <family val="2"/>
      </rPr>
      <t>1</t>
    </r>
    <r>
      <rPr>
        <b/>
        <sz val="9"/>
        <rFont val="Arial Narrow"/>
        <family val="2"/>
      </rPr>
      <t>/</t>
    </r>
    <r>
      <rPr>
        <b/>
        <vertAlign val="subscript"/>
        <sz val="9"/>
        <rFont val="Arial Narrow"/>
        <family val="2"/>
      </rPr>
      <t xml:space="preserve">2    </t>
    </r>
    <r>
      <rPr>
        <b/>
        <sz val="9"/>
        <rFont val="Arial Narrow"/>
        <family val="2"/>
      </rPr>
      <t xml:space="preserve"> 6     6</t>
    </r>
    <r>
      <rPr>
        <b/>
        <vertAlign val="superscript"/>
        <sz val="9"/>
        <rFont val="Arial Narrow"/>
        <family val="2"/>
      </rPr>
      <t>1</t>
    </r>
    <r>
      <rPr>
        <b/>
        <sz val="9"/>
        <rFont val="Arial Narrow"/>
        <family val="2"/>
      </rPr>
      <t>/</t>
    </r>
    <r>
      <rPr>
        <b/>
        <vertAlign val="subscript"/>
        <sz val="9"/>
        <rFont val="Arial Narrow"/>
        <family val="2"/>
      </rPr>
      <t xml:space="preserve">2     </t>
    </r>
    <r>
      <rPr>
        <b/>
        <sz val="9"/>
        <rFont val="Arial Narrow"/>
        <family val="2"/>
      </rPr>
      <t>7</t>
    </r>
  </si>
  <si>
    <r>
      <t>7</t>
    </r>
    <r>
      <rPr>
        <b/>
        <vertAlign val="superscript"/>
        <sz val="9"/>
        <rFont val="Arial Narrow"/>
        <family val="2"/>
      </rPr>
      <t>1</t>
    </r>
    <r>
      <rPr>
        <b/>
        <sz val="9"/>
        <rFont val="Arial Narrow"/>
        <family val="2"/>
      </rPr>
      <t>/</t>
    </r>
    <r>
      <rPr>
        <b/>
        <vertAlign val="subscript"/>
        <sz val="9"/>
        <rFont val="Arial Narrow"/>
        <family val="2"/>
      </rPr>
      <t>2</t>
    </r>
    <r>
      <rPr>
        <b/>
        <sz val="9"/>
        <rFont val="Arial Narrow"/>
        <family val="2"/>
      </rPr>
      <t xml:space="preserve">        8        8</t>
    </r>
    <r>
      <rPr>
        <b/>
        <vertAlign val="superscript"/>
        <sz val="9"/>
        <rFont val="Arial Narrow"/>
        <family val="2"/>
      </rPr>
      <t>1</t>
    </r>
    <r>
      <rPr>
        <b/>
        <sz val="9"/>
        <rFont val="Arial Narrow"/>
        <family val="2"/>
      </rPr>
      <t>/</t>
    </r>
    <r>
      <rPr>
        <b/>
        <vertAlign val="subscript"/>
        <sz val="9"/>
        <rFont val="Arial Narrow"/>
        <family val="2"/>
      </rPr>
      <t>2</t>
    </r>
  </si>
  <si>
    <r>
      <t xml:space="preserve">MESOMORFIA
</t>
    </r>
    <r>
      <rPr>
        <sz val="8"/>
        <rFont val="Arial Narrow"/>
        <family val="2"/>
      </rPr>
      <t>Robustez
Músculo-Esquelética</t>
    </r>
  </si>
  <si>
    <t>Moderada adiposidad relativa; la grasa subcutánea cubre los contornos musculares y óseos; apariencia más blanda.</t>
  </si>
  <si>
    <t>Alta adiposidad relativa; grasa subcutánea abundante; redondez en tronco y extremidades; mayor acumulación de grasa en el abdomen.</t>
  </si>
  <si>
    <t>Extremadamente alta adiposidad relativa; muy abundante grasa subcutánea y grandes cantidades de grasa abdomin.en el tronco; concentración proximal de grasa en extremidades.</t>
  </si>
  <si>
    <t>Bajo desarrollo mús-esquelético relativo; diámetros óseos estrechos; diámetros musculares estrechos; pequeñas articulaciones en las extremidades.</t>
  </si>
  <si>
    <t>Moderado desarrollo músc-esquelético relativo; mayor volúmen muscular y huesos y articulaciones de mayores dimensiones.</t>
  </si>
  <si>
    <t>Alto desarrollo músc-esquelético relativo; diámetros óseos grandes; músculos de gran volumen; articulaciones grandes.</t>
  </si>
  <si>
    <t>Desarrollo músculoésquelético relativo extremadamente alto; músculos muy voluminosos; esqueleto y articulaciones muy grandes.</t>
  </si>
  <si>
    <t>Linearidad relativa moderada; menos volumen por unidad de altura; más estirado.</t>
  </si>
  <si>
    <t>Linearidad relativa elevada; poco volumen por unidad de altura.</t>
  </si>
  <si>
    <t>Francis Holway</t>
  </si>
  <si>
    <t>Linearidad relativa extremadamente alta; muy estirado; volumen mínimo por unidad de altura.</t>
  </si>
  <si>
    <t>Gran volumen por unidad de altura; extremidades relativamente voluminosas.</t>
  </si>
  <si>
    <t>Indice adiposo/muscular:</t>
  </si>
  <si>
    <t>(Posicionamiento actual)</t>
  </si>
  <si>
    <t>(Posicionamiento anterior)</t>
  </si>
  <si>
    <t>Fecha de medición:</t>
  </si>
  <si>
    <t>ADIPOSO/MUSCULAR</t>
  </si>
  <si>
    <t>MUSCULAR/OSEA</t>
  </si>
  <si>
    <t>TEJIDO MUSCULAR</t>
  </si>
  <si>
    <r>
      <t xml:space="preserve">ECTOMORFIA
</t>
    </r>
    <r>
      <rPr>
        <sz val="8"/>
        <rFont val="Arial Narrow"/>
        <family val="2"/>
      </rPr>
      <t>Linearidad
Relativa</t>
    </r>
  </si>
  <si>
    <r>
      <t xml:space="preserve">ENDOMORFIA
</t>
    </r>
    <r>
      <rPr>
        <sz val="8"/>
        <rFont val="Arial Narrow"/>
        <family val="2"/>
      </rPr>
      <t>Adiposidad
Relativa</t>
    </r>
  </si>
  <si>
    <t>Baja adiposidad relativa; poca grasa subcutánea; contornos musculares y óseos visibles.</t>
  </si>
  <si>
    <r>
      <t>Francis Holway</t>
    </r>
    <r>
      <rPr>
        <sz val="9"/>
        <rFont val="Garamond"/>
        <family val="1"/>
      </rPr>
      <t xml:space="preserve">
</t>
    </r>
    <r>
      <rPr>
        <sz val="8"/>
        <rFont val="Garamond"/>
        <family val="1"/>
      </rPr>
      <t>NUTRICION DEPORTIVA</t>
    </r>
    <r>
      <rPr>
        <sz val="9"/>
        <rFont val="Garamond"/>
        <family val="1"/>
      </rPr>
      <t xml:space="preserve">
Teléfono: 4822-9436
E-mail: fholway@hotmail.com</t>
    </r>
  </si>
  <si>
    <t>Indices</t>
  </si>
  <si>
    <t>Lucha libre</t>
  </si>
  <si>
    <t>Lucha greco romana</t>
  </si>
  <si>
    <t>Futbol australiano</t>
  </si>
  <si>
    <t>Baloncesto</t>
  </si>
  <si>
    <t>Pedestrismo fondo</t>
  </si>
  <si>
    <t>Libre 1500 m</t>
  </si>
  <si>
    <t>Libre 200+400 m</t>
  </si>
  <si>
    <t>Libre 50+100 m</t>
  </si>
  <si>
    <t>Libre 800 m</t>
  </si>
  <si>
    <t>Gimnasia deportiva</t>
  </si>
  <si>
    <t>Remo categoría abierto</t>
  </si>
  <si>
    <t>Hockey sobre césped</t>
  </si>
  <si>
    <t>Atletismo: vallas</t>
  </si>
  <si>
    <t>Natación larga distancia</t>
  </si>
  <si>
    <t>Rugby Super 12 backs</t>
  </si>
  <si>
    <t>Rugby Super 12 front forwards</t>
  </si>
  <si>
    <t>Rugby Super 12 remaining forwards</t>
  </si>
  <si>
    <t>Levantamiento de potencia</t>
  </si>
  <si>
    <t>Futbol</t>
  </si>
  <si>
    <t>Voleibol</t>
  </si>
  <si>
    <t>Softbol</t>
  </si>
  <si>
    <t>Natación - Larga distancia</t>
  </si>
  <si>
    <r>
      <t xml:space="preserve">Plicómetros: </t>
    </r>
    <r>
      <rPr>
        <b/>
        <sz val="10"/>
        <color indexed="19"/>
        <rFont val="Garamond"/>
        <family val="1"/>
      </rPr>
      <t>Harpenden</t>
    </r>
  </si>
  <si>
    <t>Atletismo</t>
  </si>
  <si>
    <t>Normal</t>
  </si>
  <si>
    <t>Muy bajo</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</si>
</sst>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0.000"/>
    <numFmt numFmtId="189" formatCode="0.000_ ;\-0.000\ "/>
    <numFmt numFmtId="190" formatCode="0.0000"/>
    <numFmt numFmtId="191" formatCode="0.000%"/>
    <numFmt numFmtId="192" formatCode="0.00000"/>
    <numFmt numFmtId="193" formatCode="0.0"/>
    <numFmt numFmtId="194" formatCode="d\-m"/>
    <numFmt numFmtId="195" formatCode="0.00000000"/>
    <numFmt numFmtId="196" formatCode="0.0000000"/>
    <numFmt numFmtId="197" formatCode="0.000000"/>
    <numFmt numFmtId="198" formatCode="0.0%"/>
    <numFmt numFmtId="199" formatCode="0.0000000000"/>
    <numFmt numFmtId="200" formatCode="0.000000000"/>
    <numFmt numFmtId="201" formatCode="d/m/yy"/>
    <numFmt numFmtId="202" formatCode="d/m/yy\ h:mm"/>
    <numFmt numFmtId="203" formatCode="_ * #,##0.0_ ;_ * \-#,##0.0_ ;_ * &quot;-&quot;??_ ;_ @_ "/>
    <numFmt numFmtId="204" formatCode="_ * #,##0.000_ ;_ * \-#,##0.000_ ;_ * &quot;-&quot;??_ ;_ @_ "/>
    <numFmt numFmtId="205" formatCode="_ * #,##0.0000_ ;_ * \-#,##0.0000_ ;_ * &quot;-&quot;??_ ;_ @_ "/>
    <numFmt numFmtId="206" formatCode="_ * #,##0_ ;_ * \-#,##0_ ;_ * &quot;-&quot;??_ ;_ @_ "/>
  </numFmts>
  <fonts count="101">
    <font>
      <sz val="10"/>
      <name val="Arial"/>
      <family val="0"/>
    </font>
    <font>
      <b/>
      <sz val="10"/>
      <name val="Garamond"/>
      <family val="1"/>
    </font>
    <font>
      <sz val="10"/>
      <name val="Garamond"/>
      <family val="1"/>
    </font>
    <font>
      <b/>
      <sz val="10"/>
      <color indexed="10"/>
      <name val="Garamond"/>
      <family val="1"/>
    </font>
    <font>
      <b/>
      <sz val="10"/>
      <color indexed="14"/>
      <name val="Garamond"/>
      <family val="1"/>
    </font>
    <font>
      <b/>
      <sz val="10"/>
      <color indexed="46"/>
      <name val="Garamond"/>
      <family val="1"/>
    </font>
    <font>
      <b/>
      <sz val="10"/>
      <color indexed="16"/>
      <name val="Garamond"/>
      <family val="1"/>
    </font>
    <font>
      <sz val="10"/>
      <color indexed="16"/>
      <name val="Garamond"/>
      <family val="1"/>
    </font>
    <font>
      <sz val="10"/>
      <color indexed="12"/>
      <name val="Garamond"/>
      <family val="1"/>
    </font>
    <font>
      <b/>
      <sz val="10"/>
      <color indexed="12"/>
      <name val="Garamond"/>
      <family val="1"/>
    </font>
    <font>
      <b/>
      <sz val="10"/>
      <color indexed="8"/>
      <name val="Garamond"/>
      <family val="1"/>
    </font>
    <font>
      <sz val="8"/>
      <name val="Tahoma"/>
      <family val="0"/>
    </font>
    <font>
      <b/>
      <sz val="10"/>
      <name val="Comic Sans MS"/>
      <family val="4"/>
    </font>
    <font>
      <sz val="10"/>
      <color indexed="12"/>
      <name val="Comic Sans MS"/>
      <family val="4"/>
    </font>
    <font>
      <sz val="10.5"/>
      <name val="Arial"/>
      <family val="0"/>
    </font>
    <font>
      <sz val="10"/>
      <name val="Courier New"/>
      <family val="3"/>
    </font>
    <font>
      <sz val="12"/>
      <name val="Arial"/>
      <family val="0"/>
    </font>
    <font>
      <b/>
      <sz val="10"/>
      <name val="Arial"/>
      <family val="2"/>
    </font>
    <font>
      <sz val="10"/>
      <color indexed="9"/>
      <name val="Garamond"/>
      <family val="1"/>
    </font>
    <font>
      <sz val="5.25"/>
      <name val="Arial"/>
      <family val="2"/>
    </font>
    <font>
      <sz val="8.25"/>
      <name val="Arial"/>
      <family val="0"/>
    </font>
    <font>
      <sz val="8"/>
      <name val="Arial"/>
      <family val="0"/>
    </font>
    <font>
      <sz val="10"/>
      <color indexed="9"/>
      <name val="Arial"/>
      <family val="2"/>
    </font>
    <font>
      <b/>
      <i/>
      <sz val="10"/>
      <color indexed="9"/>
      <name val="Garamond"/>
      <family val="1"/>
    </font>
    <font>
      <b/>
      <sz val="8"/>
      <name val="Garamond"/>
      <family val="1"/>
    </font>
    <font>
      <sz val="8"/>
      <color indexed="16"/>
      <name val="Arial"/>
      <family val="2"/>
    </font>
    <font>
      <b/>
      <sz val="10"/>
      <color indexed="16"/>
      <name val="Arial"/>
      <family val="2"/>
    </font>
    <font>
      <b/>
      <sz val="9"/>
      <color indexed="16"/>
      <name val="Arial"/>
      <family val="2"/>
    </font>
    <font>
      <b/>
      <sz val="8"/>
      <name val="Arial Narrow"/>
      <family val="2"/>
    </font>
    <font>
      <b/>
      <sz val="12"/>
      <name val="Garamond"/>
      <family val="1"/>
    </font>
    <font>
      <b/>
      <sz val="9"/>
      <color indexed="16"/>
      <name val="Arial Narrow"/>
      <family val="2"/>
    </font>
    <font>
      <sz val="10"/>
      <color indexed="17"/>
      <name val="Garamond"/>
      <family val="1"/>
    </font>
    <font>
      <sz val="10"/>
      <color indexed="19"/>
      <name val="Arial"/>
      <family val="0"/>
    </font>
    <font>
      <b/>
      <sz val="10"/>
      <color indexed="19"/>
      <name val="Garamond"/>
      <family val="1"/>
    </font>
    <font>
      <sz val="10"/>
      <color indexed="19"/>
      <name val="Garamond"/>
      <family val="1"/>
    </font>
    <font>
      <b/>
      <sz val="9"/>
      <color indexed="17"/>
      <name val="Arial Narrow"/>
      <family val="2"/>
    </font>
    <font>
      <b/>
      <sz val="9"/>
      <color indexed="19"/>
      <name val="Arial Narrow"/>
      <family val="2"/>
    </font>
    <font>
      <b/>
      <sz val="9"/>
      <color indexed="18"/>
      <name val="Arial Narrow"/>
      <family val="2"/>
    </font>
    <font>
      <sz val="10"/>
      <color indexed="18"/>
      <name val="Garamond"/>
      <family val="1"/>
    </font>
    <font>
      <sz val="10"/>
      <color indexed="18"/>
      <name val="Arial"/>
      <family val="0"/>
    </font>
    <font>
      <b/>
      <sz val="10"/>
      <color indexed="17"/>
      <name val="Garamond"/>
      <family val="1"/>
    </font>
    <font>
      <b/>
      <i/>
      <sz val="10"/>
      <color indexed="17"/>
      <name val="Garamond"/>
      <family val="1"/>
    </font>
    <font>
      <b/>
      <sz val="10"/>
      <color indexed="23"/>
      <name val="Garamond"/>
      <family val="1"/>
    </font>
    <font>
      <b/>
      <sz val="10"/>
      <color indexed="23"/>
      <name val="Arial"/>
      <family val="0"/>
    </font>
    <font>
      <b/>
      <i/>
      <sz val="10"/>
      <color indexed="23"/>
      <name val="Garamond"/>
      <family val="1"/>
    </font>
    <font>
      <sz val="11"/>
      <name val="Garamond"/>
      <family val="1"/>
    </font>
    <font>
      <b/>
      <sz val="18"/>
      <name val="Garamond"/>
      <family val="1"/>
    </font>
    <font>
      <b/>
      <sz val="9"/>
      <color indexed="54"/>
      <name val="Arial Narrow"/>
      <family val="2"/>
    </font>
    <font>
      <sz val="8"/>
      <name val="Garamond"/>
      <family val="1"/>
    </font>
    <font>
      <sz val="8.5"/>
      <name val="Arial"/>
      <family val="0"/>
    </font>
    <font>
      <b/>
      <sz val="8.75"/>
      <name val="Garamond"/>
      <family val="1"/>
    </font>
    <font>
      <sz val="8.75"/>
      <name val="Arial"/>
      <family val="0"/>
    </font>
    <font>
      <sz val="8.5"/>
      <name val="Garamond"/>
      <family val="1"/>
    </font>
    <font>
      <b/>
      <sz val="10.5"/>
      <name val="Garamond"/>
      <family val="1"/>
    </font>
    <font>
      <b/>
      <sz val="9.5"/>
      <name val="Garamond"/>
      <family val="1"/>
    </font>
    <font>
      <sz val="9.5"/>
      <name val="Arial"/>
      <family val="0"/>
    </font>
    <font>
      <sz val="8.75"/>
      <name val="Garamond"/>
      <family val="1"/>
    </font>
    <font>
      <b/>
      <sz val="10.75"/>
      <name val="Garamond"/>
      <family val="1"/>
    </font>
    <font>
      <sz val="9"/>
      <name val="Arial"/>
      <family val="0"/>
    </font>
    <font>
      <b/>
      <sz val="9"/>
      <name val="Garamond"/>
      <family val="1"/>
    </font>
    <font>
      <sz val="11"/>
      <color indexed="18"/>
      <name val="Garamond"/>
      <family val="1"/>
    </font>
    <font>
      <i/>
      <sz val="11"/>
      <color indexed="9"/>
      <name val="Garamond"/>
      <family val="1"/>
    </font>
    <font>
      <i/>
      <sz val="11"/>
      <color indexed="18"/>
      <name val="Garamond"/>
      <family val="1"/>
    </font>
    <font>
      <sz val="11"/>
      <color indexed="16"/>
      <name val="Garamond"/>
      <family val="1"/>
    </font>
    <font>
      <i/>
      <sz val="11"/>
      <color indexed="16"/>
      <name val="Garamond"/>
      <family val="1"/>
    </font>
    <font>
      <b/>
      <sz val="9"/>
      <color indexed="20"/>
      <name val="Arial Narrow"/>
      <family val="2"/>
    </font>
    <font>
      <sz val="10"/>
      <color indexed="54"/>
      <name val="Garamond"/>
      <family val="1"/>
    </font>
    <font>
      <b/>
      <u val="single"/>
      <sz val="10"/>
      <name val="Garamond"/>
      <family val="1"/>
    </font>
    <font>
      <b/>
      <sz val="9"/>
      <name val="Arial Narrow"/>
      <family val="2"/>
    </font>
    <font>
      <b/>
      <sz val="16"/>
      <name val="Garamond"/>
      <family val="1"/>
    </font>
    <font>
      <sz val="8"/>
      <color indexed="54"/>
      <name val="Arial"/>
      <family val="2"/>
    </font>
    <font>
      <sz val="11"/>
      <color indexed="54"/>
      <name val="Monotype Sorts"/>
      <family val="0"/>
    </font>
    <font>
      <sz val="10"/>
      <color indexed="16"/>
      <name val="Arial"/>
      <family val="0"/>
    </font>
    <font>
      <sz val="9"/>
      <name val="Garamond"/>
      <family val="1"/>
    </font>
    <font>
      <sz val="5.75"/>
      <name val="Garamond"/>
      <family val="1"/>
    </font>
    <font>
      <sz val="16"/>
      <name val="Wingdings"/>
      <family val="0"/>
    </font>
    <font>
      <sz val="1"/>
      <name val="Wingdings"/>
      <family val="0"/>
    </font>
    <font>
      <b/>
      <sz val="10"/>
      <color indexed="8"/>
      <name val="Arial"/>
      <family val="2"/>
    </font>
    <font>
      <sz val="10"/>
      <color indexed="17"/>
      <name val="Monotype Sorts"/>
      <family val="0"/>
    </font>
    <font>
      <sz val="10"/>
      <name val="Monotype Sorts"/>
      <family val="0"/>
    </font>
    <font>
      <vertAlign val="superscript"/>
      <sz val="10"/>
      <name val="Garamond"/>
      <family val="1"/>
    </font>
    <font>
      <sz val="10"/>
      <color indexed="14"/>
      <name val="Garamond"/>
      <family val="1"/>
    </font>
    <font>
      <b/>
      <sz val="8"/>
      <color indexed="52"/>
      <name val="Arial"/>
      <family val="2"/>
    </font>
    <font>
      <b/>
      <sz val="8"/>
      <color indexed="48"/>
      <name val="Arial"/>
      <family val="2"/>
    </font>
    <font>
      <b/>
      <sz val="8"/>
      <color indexed="57"/>
      <name val="Arial"/>
      <family val="2"/>
    </font>
    <font>
      <b/>
      <sz val="11"/>
      <name val="Garamond"/>
      <family val="1"/>
    </font>
    <font>
      <sz val="10"/>
      <color indexed="53"/>
      <name val="Arial"/>
      <family val="2"/>
    </font>
    <font>
      <sz val="10"/>
      <color indexed="48"/>
      <name val="Arial"/>
      <family val="2"/>
    </font>
    <font>
      <sz val="10"/>
      <color indexed="57"/>
      <name val="Arial"/>
      <family val="2"/>
    </font>
    <font>
      <b/>
      <sz val="10"/>
      <name val="Arial Narrow"/>
      <family val="2"/>
    </font>
    <font>
      <sz val="10"/>
      <color indexed="53"/>
      <name val="Garamond"/>
      <family val="1"/>
    </font>
    <font>
      <b/>
      <sz val="11"/>
      <color indexed="53"/>
      <name val="Garamond"/>
      <family val="1"/>
    </font>
    <font>
      <b/>
      <sz val="11"/>
      <color indexed="12"/>
      <name val="Garamond"/>
      <family val="1"/>
    </font>
    <font>
      <b/>
      <sz val="11"/>
      <color indexed="17"/>
      <name val="Garamond"/>
      <family val="1"/>
    </font>
    <font>
      <b/>
      <sz val="10"/>
      <color indexed="9"/>
      <name val="Arial"/>
      <family val="2"/>
    </font>
    <font>
      <b/>
      <i/>
      <sz val="10"/>
      <name val="Garamond"/>
      <family val="1"/>
    </font>
    <font>
      <b/>
      <vertAlign val="superscript"/>
      <sz val="9"/>
      <name val="Arial Narrow"/>
      <family val="2"/>
    </font>
    <font>
      <b/>
      <vertAlign val="subscript"/>
      <sz val="9"/>
      <name val="Arial Narrow"/>
      <family val="2"/>
    </font>
    <font>
      <sz val="9"/>
      <name val="Arial Narrow"/>
      <family val="2"/>
    </font>
    <font>
      <sz val="8"/>
      <name val="Arial Narrow"/>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s>
  <borders count="151">
    <border>
      <left/>
      <right/>
      <top/>
      <bottom/>
      <diagonal/>
    </border>
    <border>
      <left style="thick">
        <color indexed="51"/>
      </left>
      <right>
        <color indexed="63"/>
      </right>
      <top style="thick">
        <color indexed="51"/>
      </top>
      <bottom>
        <color indexed="63"/>
      </bottom>
    </border>
    <border>
      <left>
        <color indexed="63"/>
      </left>
      <right style="thick">
        <color indexed="51"/>
      </right>
      <top style="thick">
        <color indexed="51"/>
      </top>
      <bottom>
        <color indexed="63"/>
      </bottom>
    </border>
    <border>
      <left style="thick">
        <color indexed="51"/>
      </left>
      <right>
        <color indexed="63"/>
      </right>
      <top>
        <color indexed="63"/>
      </top>
      <bottom>
        <color indexed="63"/>
      </bottom>
    </border>
    <border>
      <left>
        <color indexed="63"/>
      </left>
      <right style="thick">
        <color indexed="51"/>
      </right>
      <top>
        <color indexed="63"/>
      </top>
      <bottom>
        <color indexed="63"/>
      </bottom>
    </border>
    <border>
      <left>
        <color indexed="63"/>
      </left>
      <right>
        <color indexed="63"/>
      </right>
      <top style="thick">
        <color indexed="51"/>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medium">
        <color indexed="51"/>
      </left>
      <right style="medium">
        <color indexed="51"/>
      </right>
      <top style="medium">
        <color indexed="51"/>
      </top>
      <bottom style="thin">
        <color indexed="51"/>
      </bottom>
    </border>
    <border>
      <left style="medium">
        <color indexed="51"/>
      </left>
      <right style="medium">
        <color indexed="51"/>
      </right>
      <top style="thin">
        <color indexed="51"/>
      </top>
      <bottom style="thin">
        <color indexed="51"/>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hair"/>
      <right>
        <color indexed="63"/>
      </right>
      <top>
        <color indexed="63"/>
      </top>
      <bottom>
        <color indexed="63"/>
      </bottom>
    </border>
    <border>
      <left style="thin"/>
      <right>
        <color indexed="63"/>
      </right>
      <top>
        <color indexed="63"/>
      </top>
      <bottom style="thin"/>
    </border>
    <border>
      <left style="double"/>
      <right style="hair"/>
      <top style="hair"/>
      <bottom style="hair"/>
    </border>
    <border>
      <left style="hair"/>
      <right style="hair"/>
      <top>
        <color indexed="63"/>
      </top>
      <bottom style="hair"/>
    </border>
    <border>
      <left style="double"/>
      <right style="hair"/>
      <top>
        <color indexed="63"/>
      </top>
      <bottom style="hair"/>
    </border>
    <border>
      <left style="hair"/>
      <right style="hair"/>
      <top style="medium"/>
      <bottom style="hair"/>
    </border>
    <border>
      <left style="double"/>
      <right style="hair"/>
      <top style="hair"/>
      <bottom style="medium"/>
    </border>
    <border>
      <left style="hair"/>
      <right style="hair"/>
      <top style="hair"/>
      <bottom style="medium"/>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medium"/>
      <top>
        <color indexed="63"/>
      </top>
      <bottom>
        <color indexed="63"/>
      </bottom>
    </border>
    <border>
      <left style="medium"/>
      <right style="hair"/>
      <top style="medium"/>
      <bottom style="double"/>
    </border>
    <border>
      <left style="hair"/>
      <right style="hair"/>
      <top style="medium"/>
      <bottom style="double"/>
    </border>
    <border>
      <left style="hair"/>
      <right style="medium"/>
      <top style="medium"/>
      <bottom style="double"/>
    </border>
    <border>
      <left style="thin"/>
      <right style="hair"/>
      <top style="double"/>
      <bottom style="hair"/>
    </border>
    <border>
      <left style="hair"/>
      <right style="hair"/>
      <top style="double"/>
      <bottom style="hair"/>
    </border>
    <border>
      <left style="hair"/>
      <right>
        <color indexed="63"/>
      </right>
      <top>
        <color indexed="63"/>
      </top>
      <bottom style="hair"/>
    </border>
    <border>
      <left style="medium"/>
      <right style="hair"/>
      <top style="double"/>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color indexed="63"/>
      </left>
      <right style="hair"/>
      <top style="medium"/>
      <bottom style="double"/>
    </border>
    <border>
      <left>
        <color indexed="63"/>
      </left>
      <right style="hair"/>
      <top>
        <color indexed="63"/>
      </top>
      <bottom style="hair"/>
    </border>
    <border>
      <left style="hair"/>
      <right style="medium"/>
      <top>
        <color indexed="63"/>
      </top>
      <bottom style="hair"/>
    </border>
    <border>
      <left>
        <color indexed="63"/>
      </left>
      <right style="hair"/>
      <top style="hair"/>
      <bottom style="hair"/>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style="hair"/>
      <top style="double"/>
      <bottom style="medium"/>
    </border>
    <border>
      <left style="hair"/>
      <right style="hair"/>
      <top style="double"/>
      <bottom style="medium"/>
    </border>
    <border>
      <left style="hair"/>
      <right style="medium"/>
      <top style="double"/>
      <bottom style="medium"/>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style="hair"/>
      <top style="thin"/>
      <bottom style="hair"/>
    </border>
    <border>
      <left>
        <color indexed="63"/>
      </left>
      <right style="hair"/>
      <top style="hair"/>
      <bottom style="medium"/>
    </border>
    <border>
      <left style="medium"/>
      <right style="dashed"/>
      <top style="medium"/>
      <bottom style="dashed"/>
    </border>
    <border>
      <left style="dashed"/>
      <right style="dashed"/>
      <top style="medium"/>
      <bottom style="dashed"/>
    </border>
    <border>
      <left style="dashed"/>
      <right style="medium"/>
      <top style="medium"/>
      <bottom style="dashed"/>
    </border>
    <border>
      <left style="medium"/>
      <right style="dashed"/>
      <top style="dashed"/>
      <bottom style="dashed"/>
    </border>
    <border>
      <left style="dashed"/>
      <right style="dashed"/>
      <top style="dashed"/>
      <bottom style="dashed"/>
    </border>
    <border>
      <left style="dashed"/>
      <right style="medium"/>
      <top style="dashed"/>
      <bottom style="dashed"/>
    </border>
    <border>
      <left style="thin"/>
      <right style="hair"/>
      <top style="hair"/>
      <bottom style="thin"/>
    </border>
    <border>
      <left style="hair"/>
      <right style="hair"/>
      <top style="hair"/>
      <bottom style="thin"/>
    </border>
    <border>
      <left style="hair"/>
      <right>
        <color indexed="63"/>
      </right>
      <top style="hair"/>
      <bottom style="thin"/>
    </border>
    <border>
      <left style="medium"/>
      <right style="dashed"/>
      <top style="dashed"/>
      <bottom style="medium"/>
    </border>
    <border>
      <left style="dashed"/>
      <right style="dashed"/>
      <top style="dashed"/>
      <bottom style="medium"/>
    </border>
    <border>
      <left style="dashed"/>
      <right style="medium"/>
      <top style="dashed"/>
      <bottom style="medium"/>
    </border>
    <border>
      <left style="hair"/>
      <right style="double"/>
      <top>
        <color indexed="63"/>
      </top>
      <bottom style="hair"/>
    </border>
    <border>
      <left style="hair"/>
      <right style="double"/>
      <top style="hair"/>
      <bottom style="hair"/>
    </border>
    <border>
      <left style="hair"/>
      <right style="double"/>
      <top style="medium"/>
      <bottom style="hair"/>
    </border>
    <border>
      <left style="hair"/>
      <right style="double"/>
      <top style="hair"/>
      <bottom style="medium"/>
    </border>
    <border>
      <left>
        <color indexed="63"/>
      </left>
      <right style="thin"/>
      <top style="thin"/>
      <bottom style="thin"/>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medium"/>
    </border>
    <border>
      <left style="medium"/>
      <right style="thin"/>
      <top style="thin"/>
      <bottom style="medium"/>
    </border>
    <border>
      <left style="hair"/>
      <right style="medium"/>
      <top style="double"/>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thin"/>
    </border>
    <border>
      <left style="hair"/>
      <right style="hair"/>
      <top>
        <color indexed="63"/>
      </top>
      <bottom>
        <color indexed="63"/>
      </bottom>
    </border>
    <border>
      <left style="thin"/>
      <right>
        <color indexed="63"/>
      </right>
      <top style="hair"/>
      <bottom style="thin"/>
    </border>
    <border>
      <left>
        <color indexed="63"/>
      </left>
      <right>
        <color indexed="63"/>
      </right>
      <top style="hair"/>
      <bottom style="thin"/>
    </border>
    <border>
      <left style="hair"/>
      <right>
        <color indexed="63"/>
      </right>
      <top style="hair"/>
      <bottom>
        <color indexed="63"/>
      </bottom>
    </border>
    <border>
      <left>
        <color indexed="63"/>
      </left>
      <right style="hair"/>
      <top>
        <color indexed="63"/>
      </top>
      <bottom>
        <color indexed="63"/>
      </bottom>
    </border>
    <border>
      <left>
        <color indexed="63"/>
      </left>
      <right style="thin"/>
      <top style="hair"/>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double"/>
      <top style="hair"/>
      <bottom>
        <color indexed="63"/>
      </bottom>
    </border>
    <border>
      <left style="double"/>
      <right style="hair"/>
      <top style="hair"/>
      <bottom>
        <color indexed="63"/>
      </bottom>
    </border>
    <border>
      <left style="medium"/>
      <right style="double"/>
      <top style="medium"/>
      <bottom style="medium"/>
    </border>
    <border>
      <left style="hair"/>
      <right style="hair"/>
      <top style="medium"/>
      <bottom style="medium"/>
    </border>
    <border>
      <left style="hair"/>
      <right style="double"/>
      <top style="medium"/>
      <bottom style="medium"/>
    </border>
    <border>
      <left style="double"/>
      <right style="hair"/>
      <top style="medium"/>
      <bottom style="medium"/>
    </border>
    <border>
      <left style="hair"/>
      <right style="medium"/>
      <top style="medium"/>
      <bottom style="medium"/>
    </border>
    <border>
      <left style="thin"/>
      <right style="double"/>
      <top style="thin"/>
      <bottom>
        <color indexed="63"/>
      </bottom>
    </border>
    <border>
      <left>
        <color indexed="63"/>
      </left>
      <right style="hair"/>
      <top style="thin"/>
      <bottom>
        <color indexed="63"/>
      </bottom>
    </border>
    <border>
      <left style="hair"/>
      <right style="hair"/>
      <top style="thin"/>
      <bottom>
        <color indexed="63"/>
      </bottom>
    </border>
    <border>
      <left style="hair"/>
      <right style="double"/>
      <top style="thin"/>
      <bottom>
        <color indexed="63"/>
      </bottom>
    </border>
    <border>
      <left style="double"/>
      <right style="hair"/>
      <top style="thin"/>
      <bottom>
        <color indexed="63"/>
      </bottom>
    </border>
    <border>
      <left style="hair"/>
      <right style="thin"/>
      <top style="thin"/>
      <bottom>
        <color indexed="63"/>
      </bottom>
    </border>
    <border>
      <left>
        <color indexed="63"/>
      </left>
      <right style="hair"/>
      <top style="medium"/>
      <bottom style="medium"/>
    </border>
    <border>
      <left style="hair"/>
      <right>
        <color indexed="63"/>
      </right>
      <top style="medium"/>
      <bottom style="medium"/>
    </border>
    <border>
      <left style="medium"/>
      <right style="double"/>
      <top>
        <color indexed="63"/>
      </top>
      <bottom style="hair"/>
    </border>
    <border>
      <left style="medium"/>
      <right style="double"/>
      <top style="hair"/>
      <bottom style="hair"/>
    </border>
    <border>
      <left style="medium"/>
      <right style="double"/>
      <top style="hair"/>
      <bottom>
        <color indexed="63"/>
      </bottom>
    </border>
    <border>
      <left style="hair"/>
      <right style="medium"/>
      <top>
        <color indexed="63"/>
      </top>
      <bottom>
        <color indexed="63"/>
      </bottom>
    </border>
    <border>
      <left style="medium"/>
      <right style="double"/>
      <top style="medium"/>
      <bottom style="hair"/>
    </border>
    <border>
      <left style="hair"/>
      <right style="medium"/>
      <top style="medium"/>
      <bottom style="hair"/>
    </border>
    <border>
      <left style="medium"/>
      <right style="double"/>
      <top style="hair"/>
      <bottom style="mediu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thin"/>
      <bottom style="medium"/>
    </border>
    <border>
      <left>
        <color indexed="63"/>
      </left>
      <right style="hair"/>
      <top style="medium"/>
      <bottom style="hair"/>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medium"/>
      <bottom style="thin"/>
    </border>
    <border>
      <left style="medium"/>
      <right style="medium"/>
      <top style="medium"/>
      <bottom>
        <color indexed="63"/>
      </bottom>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hair"/>
      <bottom style="hair"/>
    </border>
    <border>
      <left>
        <color indexed="63"/>
      </left>
      <right style="thin"/>
      <top style="hair"/>
      <bottom>
        <color indexed="63"/>
      </bottom>
    </border>
    <border>
      <left style="medium">
        <color indexed="51"/>
      </left>
      <right style="medium">
        <color indexed="51"/>
      </right>
      <top style="medium">
        <color indexed="51"/>
      </top>
      <bottom>
        <color indexed="63"/>
      </bottom>
    </border>
    <border>
      <left style="medium">
        <color indexed="51"/>
      </left>
      <right style="medium">
        <color indexed="51"/>
      </right>
      <top>
        <color indexed="63"/>
      </top>
      <bottom>
        <color indexed="63"/>
      </bottom>
    </border>
    <border>
      <left style="medium">
        <color indexed="51"/>
      </left>
      <right style="medium">
        <color indexed="51"/>
      </right>
      <top>
        <color indexed="63"/>
      </top>
      <bottom style="medium">
        <color indexed="51"/>
      </bottom>
    </border>
    <border>
      <left>
        <color indexed="63"/>
      </left>
      <right style="thin"/>
      <top style="thin"/>
      <bottom style="hair"/>
    </border>
    <border>
      <left>
        <color indexed="63"/>
      </left>
      <right>
        <color indexed="63"/>
      </right>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4">
    <xf numFmtId="0" fontId="0" fillId="0" borderId="0" xfId="0" applyAlignment="1">
      <alignment/>
    </xf>
    <xf numFmtId="0" fontId="22" fillId="0" borderId="0" xfId="0" applyFont="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188" fontId="23" fillId="0" borderId="6" xfId="0" applyNumberFormat="1" applyFont="1" applyBorder="1" applyAlignment="1" applyProtection="1">
      <alignment horizontal="center" wrapText="1"/>
      <protection hidden="1"/>
    </xf>
    <xf numFmtId="0" fontId="18" fillId="0" borderId="0" xfId="0" applyFont="1" applyAlignment="1" applyProtection="1">
      <alignment/>
      <protection hidden="1"/>
    </xf>
    <xf numFmtId="0" fontId="0" fillId="0" borderId="0" xfId="0" applyAlignment="1" applyProtection="1">
      <alignment/>
      <protection hidden="1"/>
    </xf>
    <xf numFmtId="0" fontId="28" fillId="0" borderId="0" xfId="0" applyFont="1" applyBorder="1" applyAlignment="1" applyProtection="1">
      <alignment horizontal="center" vertical="center" textRotation="180" wrapText="1"/>
      <protection hidden="1"/>
    </xf>
    <xf numFmtId="0" fontId="22" fillId="0" borderId="0" xfId="0" applyFont="1" applyAlignment="1" applyProtection="1">
      <alignment/>
      <protection hidden="1"/>
    </xf>
    <xf numFmtId="0" fontId="29" fillId="0" borderId="7" xfId="0" applyFont="1" applyBorder="1" applyAlignment="1" applyProtection="1">
      <alignment horizontal="right" vertical="center"/>
      <protection hidden="1"/>
    </xf>
    <xf numFmtId="0" fontId="42" fillId="0" borderId="6" xfId="0" applyFont="1" applyBorder="1" applyAlignment="1" applyProtection="1">
      <alignment horizontal="center" wrapText="1"/>
      <protection hidden="1"/>
    </xf>
    <xf numFmtId="0" fontId="0" fillId="0" borderId="0" xfId="0" applyBorder="1" applyAlignment="1" applyProtection="1">
      <alignment/>
      <protection hidden="1"/>
    </xf>
    <xf numFmtId="0" fontId="0" fillId="0" borderId="8" xfId="0" applyBorder="1" applyAlignment="1" applyProtection="1">
      <alignment/>
      <protection hidden="1"/>
    </xf>
    <xf numFmtId="0" fontId="25" fillId="3" borderId="9" xfId="0" applyFont="1" applyFill="1" applyBorder="1" applyAlignment="1" applyProtection="1">
      <alignment horizontal="center"/>
      <protection hidden="1" locked="0"/>
    </xf>
    <xf numFmtId="0" fontId="25" fillId="3" borderId="10" xfId="0" applyFont="1" applyFill="1" applyBorder="1" applyAlignment="1" applyProtection="1">
      <alignment horizontal="center"/>
      <protection hidden="1" locked="0"/>
    </xf>
    <xf numFmtId="0" fontId="2" fillId="0" borderId="0" xfId="0" applyFont="1" applyBorder="1" applyAlignment="1" applyProtection="1">
      <alignment/>
      <protection hidden="1"/>
    </xf>
    <xf numFmtId="0" fontId="42" fillId="0" borderId="0" xfId="0" applyFont="1" applyBorder="1" applyAlignment="1" applyProtection="1">
      <alignment horizontal="center" wrapText="1"/>
      <protection hidden="1"/>
    </xf>
    <xf numFmtId="188" fontId="23" fillId="0" borderId="0" xfId="0" applyNumberFormat="1" applyFont="1" applyBorder="1" applyAlignment="1" applyProtection="1">
      <alignment horizontal="center" wrapText="1"/>
      <protection hidden="1"/>
    </xf>
    <xf numFmtId="188" fontId="44" fillId="0" borderId="0" xfId="0" applyNumberFormat="1" applyFont="1" applyBorder="1" applyAlignment="1" applyProtection="1">
      <alignment horizontal="center" wrapText="1"/>
      <protection hidden="1"/>
    </xf>
    <xf numFmtId="0" fontId="42" fillId="0" borderId="8" xfId="0" applyFont="1" applyBorder="1" applyAlignment="1" applyProtection="1">
      <alignment horizontal="center" wrapText="1"/>
      <protection hidden="1"/>
    </xf>
    <xf numFmtId="0" fontId="0" fillId="2" borderId="0" xfId="0" applyFill="1" applyBorder="1" applyAlignment="1">
      <alignment/>
    </xf>
    <xf numFmtId="0" fontId="34" fillId="0" borderId="0" xfId="0" applyFont="1" applyBorder="1" applyAlignment="1" applyProtection="1">
      <alignment/>
      <protection hidden="1"/>
    </xf>
    <xf numFmtId="0" fontId="34" fillId="0" borderId="8" xfId="0" applyFont="1" applyBorder="1" applyAlignment="1" applyProtection="1">
      <alignment/>
      <protection hidden="1"/>
    </xf>
    <xf numFmtId="0" fontId="34" fillId="0" borderId="11" xfId="0" applyFont="1" applyBorder="1" applyAlignment="1" applyProtection="1">
      <alignment/>
      <protection hidden="1"/>
    </xf>
    <xf numFmtId="0" fontId="37" fillId="0" borderId="12" xfId="0" applyFont="1" applyBorder="1" applyAlignment="1" applyProtection="1">
      <alignment horizontal="center" vertical="center" textRotation="90" wrapText="1"/>
      <protection hidden="1"/>
    </xf>
    <xf numFmtId="0" fontId="0" fillId="0" borderId="12" xfId="0" applyBorder="1" applyAlignment="1" applyProtection="1">
      <alignment horizontal="center" vertical="center" textRotation="90" wrapText="1"/>
      <protection hidden="1"/>
    </xf>
    <xf numFmtId="0" fontId="39" fillId="0" borderId="12" xfId="0" applyFont="1" applyBorder="1" applyAlignment="1" applyProtection="1">
      <alignment horizontal="center" vertical="center" textRotation="90" wrapText="1"/>
      <protection hidden="1"/>
    </xf>
    <xf numFmtId="0" fontId="0" fillId="0" borderId="11" xfId="0" applyBorder="1" applyAlignment="1" applyProtection="1">
      <alignment/>
      <protection hidden="1"/>
    </xf>
    <xf numFmtId="0" fontId="0" fillId="0" borderId="13" xfId="0" applyBorder="1" applyAlignment="1" applyProtection="1">
      <alignment/>
      <protection hidden="1"/>
    </xf>
    <xf numFmtId="0" fontId="0" fillId="0" borderId="6" xfId="0" applyBorder="1" applyAlignment="1" applyProtection="1">
      <alignment/>
      <protection hidden="1"/>
    </xf>
    <xf numFmtId="0" fontId="0" fillId="0" borderId="14" xfId="0" applyBorder="1" applyAlignment="1" applyProtection="1">
      <alignment/>
      <protection hidden="1"/>
    </xf>
    <xf numFmtId="0" fontId="34" fillId="0" borderId="0" xfId="0" applyFont="1" applyBorder="1" applyAlignment="1" applyProtection="1">
      <alignment horizontal="right"/>
      <protection hidden="1"/>
    </xf>
    <xf numFmtId="0" fontId="34" fillId="0" borderId="15" xfId="0" applyFont="1" applyBorder="1" applyAlignment="1" applyProtection="1">
      <alignment/>
      <protection hidden="1"/>
    </xf>
    <xf numFmtId="0" fontId="32" fillId="0" borderId="15" xfId="0" applyFont="1" applyBorder="1" applyAlignment="1" applyProtection="1">
      <alignment/>
      <protection hidden="1"/>
    </xf>
    <xf numFmtId="0" fontId="2" fillId="0" borderId="12" xfId="0" applyFont="1" applyBorder="1" applyAlignment="1" applyProtection="1">
      <alignment/>
      <protection hidden="1"/>
    </xf>
    <xf numFmtId="0" fontId="2" fillId="0" borderId="16" xfId="0" applyFont="1" applyBorder="1" applyAlignment="1" applyProtection="1">
      <alignment/>
      <protection hidden="1"/>
    </xf>
    <xf numFmtId="0" fontId="2" fillId="0" borderId="6" xfId="0" applyFont="1" applyBorder="1" applyAlignment="1" applyProtection="1">
      <alignment/>
      <protection hidden="1"/>
    </xf>
    <xf numFmtId="0" fontId="42" fillId="0" borderId="14" xfId="0" applyFont="1" applyBorder="1" applyAlignment="1" applyProtection="1">
      <alignment horizontal="center" wrapText="1"/>
      <protection hidden="1"/>
    </xf>
    <xf numFmtId="0" fontId="31" fillId="0" borderId="0" xfId="0" applyFont="1" applyBorder="1" applyAlignment="1" applyProtection="1">
      <alignment vertical="center"/>
      <protection hidden="1"/>
    </xf>
    <xf numFmtId="10" fontId="31" fillId="0" borderId="0" xfId="0" applyNumberFormat="1" applyFont="1" applyBorder="1" applyAlignment="1" applyProtection="1">
      <alignment vertical="center"/>
      <protection hidden="1"/>
    </xf>
    <xf numFmtId="188" fontId="31" fillId="0" borderId="0" xfId="0" applyNumberFormat="1" applyFont="1" applyBorder="1" applyAlignment="1" applyProtection="1">
      <alignment horizontal="right" vertical="center"/>
      <protection hidden="1"/>
    </xf>
    <xf numFmtId="0" fontId="60" fillId="0" borderId="11" xfId="0" applyFont="1" applyFill="1" applyBorder="1" applyAlignment="1" applyProtection="1">
      <alignment horizontal="left" vertical="center" indent="2"/>
      <protection hidden="1"/>
    </xf>
    <xf numFmtId="0" fontId="60" fillId="0" borderId="11" xfId="0" applyFont="1" applyBorder="1" applyAlignment="1" applyProtection="1">
      <alignment vertical="center"/>
      <protection hidden="1"/>
    </xf>
    <xf numFmtId="2" fontId="60" fillId="0" borderId="11" xfId="0" applyNumberFormat="1" applyFont="1" applyBorder="1" applyAlignment="1" applyProtection="1">
      <alignment vertical="center"/>
      <protection hidden="1"/>
    </xf>
    <xf numFmtId="2" fontId="61" fillId="0" borderId="11" xfId="0" applyNumberFormat="1" applyFont="1" applyBorder="1" applyAlignment="1" applyProtection="1">
      <alignment vertical="center"/>
      <protection hidden="1"/>
    </xf>
    <xf numFmtId="2" fontId="62" fillId="0" borderId="11" xfId="0" applyNumberFormat="1" applyFont="1" applyBorder="1" applyAlignment="1" applyProtection="1">
      <alignment vertical="center"/>
      <protection hidden="1"/>
    </xf>
    <xf numFmtId="0" fontId="38" fillId="0" borderId="11" xfId="0" applyFont="1" applyBorder="1" applyAlignment="1" applyProtection="1">
      <alignment horizontal="center" vertical="center"/>
      <protection hidden="1"/>
    </xf>
    <xf numFmtId="2" fontId="60" fillId="0" borderId="13" xfId="0" applyNumberFormat="1" applyFont="1" applyBorder="1" applyAlignment="1" applyProtection="1">
      <alignment vertical="center"/>
      <protection hidden="1"/>
    </xf>
    <xf numFmtId="0" fontId="60" fillId="0" borderId="0" xfId="0" applyFont="1" applyFill="1" applyBorder="1" applyAlignment="1" applyProtection="1">
      <alignment horizontal="left" vertical="center" indent="2"/>
      <protection hidden="1"/>
    </xf>
    <xf numFmtId="0" fontId="60" fillId="0" borderId="0" xfId="0" applyFont="1" applyBorder="1" applyAlignment="1" applyProtection="1">
      <alignment vertical="center"/>
      <protection hidden="1"/>
    </xf>
    <xf numFmtId="2" fontId="60" fillId="0" borderId="0" xfId="0" applyNumberFormat="1" applyFont="1" applyBorder="1" applyAlignment="1" applyProtection="1">
      <alignment vertical="center"/>
      <protection hidden="1"/>
    </xf>
    <xf numFmtId="2" fontId="61" fillId="0" borderId="0" xfId="0" applyNumberFormat="1" applyFont="1" applyBorder="1" applyAlignment="1" applyProtection="1">
      <alignment vertical="center"/>
      <protection hidden="1"/>
    </xf>
    <xf numFmtId="2" fontId="62" fillId="0" borderId="0" xfId="0" applyNumberFormat="1" applyFont="1" applyBorder="1" applyAlignment="1" applyProtection="1">
      <alignment vertical="center"/>
      <protection hidden="1"/>
    </xf>
    <xf numFmtId="0" fontId="38" fillId="0" borderId="0" xfId="0" applyFont="1" applyBorder="1" applyAlignment="1" applyProtection="1">
      <alignment horizontal="center" vertical="center"/>
      <protection hidden="1"/>
    </xf>
    <xf numFmtId="2" fontId="60" fillId="0" borderId="8" xfId="0" applyNumberFormat="1" applyFont="1" applyBorder="1" applyAlignment="1" applyProtection="1">
      <alignment vertical="center"/>
      <protection hidden="1"/>
    </xf>
    <xf numFmtId="0" fontId="60" fillId="0" borderId="6" xfId="0" applyFont="1" applyFill="1" applyBorder="1" applyAlignment="1" applyProtection="1">
      <alignment horizontal="left" vertical="center" indent="2"/>
      <protection hidden="1"/>
    </xf>
    <xf numFmtId="0" fontId="60" fillId="0" borderId="6" xfId="0" applyFont="1" applyBorder="1" applyAlignment="1" applyProtection="1">
      <alignment vertical="center"/>
      <protection hidden="1"/>
    </xf>
    <xf numFmtId="2" fontId="60" fillId="0" borderId="6" xfId="0" applyNumberFormat="1" applyFont="1" applyBorder="1" applyAlignment="1" applyProtection="1">
      <alignment vertical="center"/>
      <protection hidden="1"/>
    </xf>
    <xf numFmtId="2" fontId="61" fillId="0" borderId="6" xfId="0" applyNumberFormat="1" applyFont="1" applyBorder="1" applyAlignment="1" applyProtection="1">
      <alignment vertical="center"/>
      <protection hidden="1"/>
    </xf>
    <xf numFmtId="2" fontId="62" fillId="0" borderId="6" xfId="0" applyNumberFormat="1" applyFont="1" applyBorder="1" applyAlignment="1" applyProtection="1">
      <alignment vertical="center"/>
      <protection hidden="1"/>
    </xf>
    <xf numFmtId="0" fontId="38" fillId="0" borderId="6" xfId="0" applyFont="1" applyBorder="1" applyAlignment="1" applyProtection="1">
      <alignment horizontal="center" vertical="center"/>
      <protection hidden="1"/>
    </xf>
    <xf numFmtId="2" fontId="60" fillId="0" borderId="14" xfId="0" applyNumberFormat="1" applyFont="1" applyBorder="1" applyAlignment="1" applyProtection="1">
      <alignment vertical="center"/>
      <protection hidden="1"/>
    </xf>
    <xf numFmtId="0" fontId="63" fillId="0" borderId="11" xfId="0" applyFont="1" applyFill="1" applyBorder="1" applyAlignment="1" applyProtection="1">
      <alignment horizontal="left" vertical="center" indent="2"/>
      <protection hidden="1"/>
    </xf>
    <xf numFmtId="0" fontId="63" fillId="0" borderId="11" xfId="0" applyFont="1" applyBorder="1" applyAlignment="1" applyProtection="1">
      <alignment vertical="center"/>
      <protection hidden="1"/>
    </xf>
    <xf numFmtId="2" fontId="63" fillId="0" borderId="11" xfId="0" applyNumberFormat="1" applyFont="1" applyBorder="1" applyAlignment="1" applyProtection="1">
      <alignment vertical="center"/>
      <protection hidden="1"/>
    </xf>
    <xf numFmtId="2" fontId="64" fillId="0" borderId="11" xfId="0" applyNumberFormat="1" applyFont="1" applyBorder="1" applyAlignment="1" applyProtection="1">
      <alignment vertical="center"/>
      <protection hidden="1"/>
    </xf>
    <xf numFmtId="0" fontId="7" fillId="0" borderId="11" xfId="0" applyFont="1" applyBorder="1" applyAlignment="1" applyProtection="1">
      <alignment horizontal="center" vertical="center"/>
      <protection hidden="1"/>
    </xf>
    <xf numFmtId="2" fontId="63" fillId="0" borderId="13" xfId="0" applyNumberFormat="1" applyFont="1" applyBorder="1" applyAlignment="1" applyProtection="1">
      <alignment vertical="center"/>
      <protection hidden="1"/>
    </xf>
    <xf numFmtId="0" fontId="63" fillId="0" borderId="0" xfId="0" applyFont="1" applyFill="1" applyBorder="1" applyAlignment="1" applyProtection="1">
      <alignment horizontal="left" vertical="center" indent="2"/>
      <protection hidden="1"/>
    </xf>
    <xf numFmtId="0" fontId="63" fillId="0" borderId="0" xfId="0" applyFont="1" applyBorder="1" applyAlignment="1" applyProtection="1">
      <alignment vertical="center"/>
      <protection hidden="1"/>
    </xf>
    <xf numFmtId="2" fontId="63" fillId="0" borderId="0" xfId="0" applyNumberFormat="1" applyFont="1" applyBorder="1" applyAlignment="1" applyProtection="1">
      <alignment vertical="center"/>
      <protection hidden="1"/>
    </xf>
    <xf numFmtId="2" fontId="64" fillId="0" borderId="0" xfId="0" applyNumberFormat="1" applyFont="1" applyBorder="1" applyAlignment="1" applyProtection="1">
      <alignment vertical="center"/>
      <protection hidden="1"/>
    </xf>
    <xf numFmtId="0" fontId="7" fillId="0" borderId="0" xfId="0" applyFont="1" applyBorder="1" applyAlignment="1" applyProtection="1">
      <alignment horizontal="center" vertical="center"/>
      <protection hidden="1"/>
    </xf>
    <xf numFmtId="2" fontId="63" fillId="0" borderId="8" xfId="0" applyNumberFormat="1" applyFont="1" applyBorder="1" applyAlignment="1" applyProtection="1">
      <alignment vertical="center"/>
      <protection hidden="1"/>
    </xf>
    <xf numFmtId="0" fontId="63" fillId="0" borderId="6" xfId="0" applyFont="1" applyFill="1" applyBorder="1" applyAlignment="1" applyProtection="1">
      <alignment horizontal="left" vertical="center" indent="2"/>
      <protection hidden="1"/>
    </xf>
    <xf numFmtId="0" fontId="63" fillId="0" borderId="6" xfId="0" applyFont="1" applyBorder="1" applyAlignment="1" applyProtection="1">
      <alignment vertical="center"/>
      <protection hidden="1"/>
    </xf>
    <xf numFmtId="2" fontId="63" fillId="0" borderId="6" xfId="0" applyNumberFormat="1" applyFont="1" applyBorder="1" applyAlignment="1" applyProtection="1">
      <alignment vertical="center"/>
      <protection hidden="1"/>
    </xf>
    <xf numFmtId="2" fontId="64" fillId="0" borderId="6" xfId="0" applyNumberFormat="1" applyFont="1" applyBorder="1" applyAlignment="1" applyProtection="1">
      <alignment vertical="center"/>
      <protection hidden="1"/>
    </xf>
    <xf numFmtId="0" fontId="7" fillId="0" borderId="6" xfId="0" applyFont="1" applyBorder="1" applyAlignment="1" applyProtection="1">
      <alignment horizontal="center" vertical="center"/>
      <protection hidden="1"/>
    </xf>
    <xf numFmtId="2" fontId="63" fillId="0" borderId="14" xfId="0" applyNumberFormat="1" applyFont="1" applyBorder="1" applyAlignment="1" applyProtection="1">
      <alignment vertical="center"/>
      <protection hidden="1"/>
    </xf>
    <xf numFmtId="188" fontId="3" fillId="4" borderId="17" xfId="0" applyNumberFormat="1" applyFont="1" applyFill="1" applyBorder="1" applyAlignment="1" applyProtection="1">
      <alignment horizontal="right"/>
      <protection hidden="1"/>
    </xf>
    <xf numFmtId="188" fontId="2" fillId="0" borderId="18" xfId="0" applyNumberFormat="1" applyFont="1" applyFill="1" applyBorder="1" applyAlignment="1" applyProtection="1">
      <alignment horizontal="right"/>
      <protection hidden="1"/>
    </xf>
    <xf numFmtId="188" fontId="3" fillId="4" borderId="19" xfId="0" applyNumberFormat="1" applyFont="1" applyFill="1" applyBorder="1" applyAlignment="1" applyProtection="1">
      <alignment horizontal="right"/>
      <protection hidden="1"/>
    </xf>
    <xf numFmtId="188" fontId="2" fillId="0" borderId="20" xfId="0" applyNumberFormat="1" applyFont="1" applyBorder="1" applyAlignment="1" applyProtection="1">
      <alignment/>
      <protection hidden="1"/>
    </xf>
    <xf numFmtId="188" fontId="3" fillId="4" borderId="21" xfId="0" applyNumberFormat="1" applyFont="1" applyFill="1" applyBorder="1" applyAlignment="1" applyProtection="1">
      <alignment horizontal="right"/>
      <protection hidden="1"/>
    </xf>
    <xf numFmtId="188" fontId="2" fillId="0" borderId="22" xfId="0" applyNumberFormat="1" applyFont="1" applyFill="1" applyBorder="1" applyAlignment="1" applyProtection="1">
      <alignment horizontal="right"/>
      <protection hidden="1"/>
    </xf>
    <xf numFmtId="14" fontId="0" fillId="0" borderId="0" xfId="0" applyNumberFormat="1" applyAlignment="1" applyProtection="1">
      <alignment/>
      <protection hidden="1"/>
    </xf>
    <xf numFmtId="0" fontId="1" fillId="0" borderId="0" xfId="0" applyFont="1" applyAlignment="1" applyProtection="1">
      <alignment/>
      <protection hidden="1"/>
    </xf>
    <xf numFmtId="14" fontId="1" fillId="0" borderId="0" xfId="0" applyNumberFormat="1" applyFont="1" applyAlignment="1" applyProtection="1">
      <alignment/>
      <protection hidden="1"/>
    </xf>
    <xf numFmtId="0" fontId="2" fillId="0" borderId="23" xfId="0" applyFont="1" applyBorder="1" applyAlignment="1" applyProtection="1">
      <alignment/>
      <protection hidden="1"/>
    </xf>
    <xf numFmtId="0" fontId="1"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1" fillId="3" borderId="25" xfId="0" applyFont="1" applyFill="1" applyBorder="1" applyAlignment="1" applyProtection="1">
      <alignment horizontal="center"/>
      <protection hidden="1"/>
    </xf>
    <xf numFmtId="0" fontId="1" fillId="0" borderId="26" xfId="0" applyFont="1" applyFill="1" applyBorder="1" applyAlignment="1" applyProtection="1">
      <alignment horizontal="center"/>
      <protection hidden="1"/>
    </xf>
    <xf numFmtId="0" fontId="1" fillId="0" borderId="27" xfId="0" applyFont="1" applyBorder="1" applyAlignment="1" applyProtection="1">
      <alignment/>
      <protection hidden="1"/>
    </xf>
    <xf numFmtId="0" fontId="1" fillId="0" borderId="28" xfId="0" applyFont="1" applyBorder="1" applyAlignment="1" applyProtection="1">
      <alignment/>
      <protection hidden="1"/>
    </xf>
    <xf numFmtId="0" fontId="2" fillId="0" borderId="29" xfId="0" applyFont="1" applyBorder="1" applyAlignment="1" applyProtection="1">
      <alignment/>
      <protection hidden="1"/>
    </xf>
    <xf numFmtId="0" fontId="2" fillId="0" borderId="30" xfId="0" applyFont="1" applyBorder="1" applyAlignment="1" applyProtection="1">
      <alignment/>
      <protection hidden="1"/>
    </xf>
    <xf numFmtId="0" fontId="2" fillId="0" borderId="31" xfId="0" applyFont="1" applyBorder="1" applyAlignment="1" applyProtection="1">
      <alignment/>
      <protection hidden="1"/>
    </xf>
    <xf numFmtId="0" fontId="2" fillId="3" borderId="32" xfId="0" applyFont="1" applyFill="1" applyBorder="1" applyAlignment="1" applyProtection="1">
      <alignment/>
      <protection hidden="1"/>
    </xf>
    <xf numFmtId="0" fontId="2" fillId="0" borderId="26" xfId="0" applyFont="1" applyFill="1" applyBorder="1" applyAlignment="1" applyProtection="1">
      <alignment/>
      <protection hidden="1"/>
    </xf>
    <xf numFmtId="0" fontId="10" fillId="0" borderId="33" xfId="0" applyFont="1" applyBorder="1" applyAlignment="1" applyProtection="1">
      <alignment/>
      <protection hidden="1"/>
    </xf>
    <xf numFmtId="0" fontId="5" fillId="0" borderId="31" xfId="0" applyFont="1" applyBorder="1" applyAlignment="1" applyProtection="1">
      <alignment/>
      <protection hidden="1"/>
    </xf>
    <xf numFmtId="0" fontId="2" fillId="0" borderId="34" xfId="0" applyFont="1" applyBorder="1" applyAlignment="1" applyProtection="1">
      <alignment/>
      <protection hidden="1"/>
    </xf>
    <xf numFmtId="0" fontId="2" fillId="0" borderId="35" xfId="0" applyFont="1" applyBorder="1" applyAlignment="1" applyProtection="1">
      <alignment/>
      <protection hidden="1"/>
    </xf>
    <xf numFmtId="0" fontId="2" fillId="3" borderId="36" xfId="0" applyFont="1" applyFill="1" applyBorder="1" applyAlignment="1" applyProtection="1">
      <alignment/>
      <protection hidden="1"/>
    </xf>
    <xf numFmtId="0" fontId="2" fillId="0" borderId="37" xfId="0" applyFont="1" applyBorder="1" applyAlignment="1" applyProtection="1">
      <alignment/>
      <protection hidden="1"/>
    </xf>
    <xf numFmtId="188" fontId="2" fillId="0" borderId="38" xfId="0" applyNumberFormat="1" applyFont="1" applyBorder="1" applyAlignment="1" applyProtection="1">
      <alignment/>
      <protection hidden="1"/>
    </xf>
    <xf numFmtId="0" fontId="2" fillId="0" borderId="35" xfId="0" applyFont="1" applyBorder="1" applyAlignment="1" applyProtection="1">
      <alignment horizontal="right"/>
      <protection hidden="1"/>
    </xf>
    <xf numFmtId="0" fontId="2" fillId="0" borderId="38" xfId="0" applyFont="1" applyBorder="1" applyAlignment="1" applyProtection="1">
      <alignment/>
      <protection hidden="1"/>
    </xf>
    <xf numFmtId="192" fontId="2" fillId="0" borderId="38" xfId="0" applyNumberFormat="1" applyFont="1" applyBorder="1" applyAlignment="1" applyProtection="1">
      <alignment/>
      <protection hidden="1"/>
    </xf>
    <xf numFmtId="188" fontId="2" fillId="0" borderId="35" xfId="0" applyNumberFormat="1" applyFont="1" applyBorder="1" applyAlignment="1" applyProtection="1">
      <alignment/>
      <protection hidden="1"/>
    </xf>
    <xf numFmtId="0" fontId="1" fillId="0" borderId="34" xfId="0" applyFont="1" applyBorder="1" applyAlignment="1" applyProtection="1">
      <alignment/>
      <protection hidden="1"/>
    </xf>
    <xf numFmtId="190" fontId="1" fillId="0" borderId="35" xfId="0" applyNumberFormat="1" applyFont="1" applyBorder="1" applyAlignment="1" applyProtection="1">
      <alignment/>
      <protection hidden="1"/>
    </xf>
    <xf numFmtId="10" fontId="1" fillId="0" borderId="35" xfId="0" applyNumberFormat="1" applyFont="1" applyBorder="1" applyAlignment="1" applyProtection="1">
      <alignment/>
      <protection hidden="1"/>
    </xf>
    <xf numFmtId="188" fontId="1" fillId="3" borderId="36" xfId="0" applyNumberFormat="1" applyFont="1" applyFill="1" applyBorder="1" applyAlignment="1" applyProtection="1">
      <alignment/>
      <protection hidden="1"/>
    </xf>
    <xf numFmtId="188" fontId="1" fillId="0" borderId="26" xfId="0" applyNumberFormat="1" applyFont="1" applyFill="1" applyBorder="1" applyAlignment="1" applyProtection="1">
      <alignment/>
      <protection hidden="1"/>
    </xf>
    <xf numFmtId="0" fontId="2" fillId="0" borderId="39" xfId="0" applyFont="1" applyBorder="1" applyAlignment="1" applyProtection="1">
      <alignment/>
      <protection hidden="1"/>
    </xf>
    <xf numFmtId="0" fontId="2" fillId="0" borderId="22" xfId="0" applyFont="1" applyBorder="1" applyAlignment="1" applyProtection="1">
      <alignment/>
      <protection hidden="1"/>
    </xf>
    <xf numFmtId="0" fontId="2" fillId="0" borderId="40" xfId="0" applyFont="1" applyBorder="1" applyAlignment="1" applyProtection="1">
      <alignment/>
      <protection hidden="1"/>
    </xf>
    <xf numFmtId="188" fontId="4" fillId="3" borderId="41" xfId="0" applyNumberFormat="1" applyFont="1" applyFill="1" applyBorder="1" applyAlignment="1" applyProtection="1">
      <alignment/>
      <protection hidden="1"/>
    </xf>
    <xf numFmtId="188" fontId="4" fillId="3" borderId="28" xfId="0" applyNumberFormat="1" applyFont="1" applyFill="1" applyBorder="1" applyAlignment="1" applyProtection="1">
      <alignment/>
      <protection hidden="1"/>
    </xf>
    <xf numFmtId="188" fontId="4" fillId="3" borderId="29" xfId="0" applyNumberFormat="1" applyFont="1" applyFill="1" applyBorder="1" applyAlignment="1" applyProtection="1">
      <alignment/>
      <protection hidden="1"/>
    </xf>
    <xf numFmtId="0" fontId="4" fillId="0" borderId="34" xfId="0" applyFont="1" applyBorder="1" applyAlignment="1" applyProtection="1">
      <alignment/>
      <protection hidden="1"/>
    </xf>
    <xf numFmtId="188" fontId="4" fillId="0" borderId="35" xfId="0" applyNumberFormat="1" applyFont="1" applyBorder="1" applyAlignment="1" applyProtection="1">
      <alignment/>
      <protection hidden="1"/>
    </xf>
    <xf numFmtId="188" fontId="4" fillId="3" borderId="42" xfId="0" applyNumberFormat="1" applyFont="1" applyFill="1" applyBorder="1" applyAlignment="1" applyProtection="1">
      <alignment/>
      <protection hidden="1"/>
    </xf>
    <xf numFmtId="188" fontId="4" fillId="3" borderId="18" xfId="0" applyNumberFormat="1" applyFont="1" applyFill="1" applyBorder="1" applyAlignment="1" applyProtection="1">
      <alignment/>
      <protection hidden="1"/>
    </xf>
    <xf numFmtId="188" fontId="4" fillId="3" borderId="43" xfId="0" applyNumberFormat="1" applyFont="1" applyFill="1" applyBorder="1" applyAlignment="1" applyProtection="1">
      <alignment/>
      <protection hidden="1"/>
    </xf>
    <xf numFmtId="188" fontId="4" fillId="3" borderId="44" xfId="0" applyNumberFormat="1" applyFont="1" applyFill="1" applyBorder="1" applyAlignment="1" applyProtection="1">
      <alignment/>
      <protection hidden="1"/>
    </xf>
    <xf numFmtId="188" fontId="4" fillId="3" borderId="35" xfId="0" applyNumberFormat="1" applyFont="1" applyFill="1" applyBorder="1" applyAlignment="1" applyProtection="1">
      <alignment/>
      <protection hidden="1"/>
    </xf>
    <xf numFmtId="188" fontId="4" fillId="3" borderId="38" xfId="0" applyNumberFormat="1" applyFont="1" applyFill="1" applyBorder="1" applyAlignment="1" applyProtection="1">
      <alignment/>
      <protection hidden="1"/>
    </xf>
    <xf numFmtId="188" fontId="4" fillId="3" borderId="45" xfId="0" applyNumberFormat="1" applyFont="1" applyFill="1" applyBorder="1" applyAlignment="1" applyProtection="1">
      <alignment/>
      <protection hidden="1"/>
    </xf>
    <xf numFmtId="188" fontId="4" fillId="3" borderId="46" xfId="0" applyNumberFormat="1" applyFont="1" applyFill="1" applyBorder="1" applyAlignment="1" applyProtection="1">
      <alignment/>
      <protection hidden="1"/>
    </xf>
    <xf numFmtId="188" fontId="4" fillId="3" borderId="47" xfId="0" applyNumberFormat="1" applyFont="1" applyFill="1" applyBorder="1" applyAlignment="1" applyProtection="1">
      <alignment/>
      <protection hidden="1"/>
    </xf>
    <xf numFmtId="188" fontId="4" fillId="3" borderId="48" xfId="0" applyNumberFormat="1" applyFont="1" applyFill="1" applyBorder="1" applyAlignment="1" applyProtection="1">
      <alignment/>
      <protection hidden="1"/>
    </xf>
    <xf numFmtId="188" fontId="4" fillId="3" borderId="49" xfId="0" applyNumberFormat="1" applyFont="1" applyFill="1" applyBorder="1" applyAlignment="1" applyProtection="1">
      <alignment/>
      <protection hidden="1"/>
    </xf>
    <xf numFmtId="188" fontId="4" fillId="3" borderId="50" xfId="0" applyNumberFormat="1" applyFont="1" applyFill="1" applyBorder="1" applyAlignment="1" applyProtection="1">
      <alignment/>
      <protection hidden="1"/>
    </xf>
    <xf numFmtId="0" fontId="2" fillId="0" borderId="12" xfId="0" applyFont="1" applyFill="1" applyBorder="1" applyAlignment="1" applyProtection="1">
      <alignment/>
      <protection hidden="1"/>
    </xf>
    <xf numFmtId="0" fontId="2" fillId="0" borderId="51" xfId="0" applyFont="1" applyBorder="1" applyAlignment="1" applyProtection="1">
      <alignment/>
      <protection hidden="1"/>
    </xf>
    <xf numFmtId="0" fontId="2" fillId="0" borderId="0" xfId="0" applyFont="1" applyAlignment="1" applyProtection="1">
      <alignment/>
      <protection hidden="1"/>
    </xf>
    <xf numFmtId="0" fontId="6" fillId="5" borderId="52" xfId="0" applyFont="1" applyFill="1" applyBorder="1" applyAlignment="1" applyProtection="1">
      <alignment/>
      <protection hidden="1"/>
    </xf>
    <xf numFmtId="0" fontId="7" fillId="5" borderId="53" xfId="0" applyFont="1" applyFill="1" applyBorder="1" applyAlignment="1" applyProtection="1">
      <alignment/>
      <protection hidden="1"/>
    </xf>
    <xf numFmtId="0" fontId="7" fillId="5" borderId="54" xfId="0" applyFont="1" applyFill="1" applyBorder="1" applyAlignment="1" applyProtection="1">
      <alignment/>
      <protection hidden="1"/>
    </xf>
    <xf numFmtId="0" fontId="7" fillId="5" borderId="44" xfId="0" applyFont="1" applyFill="1" applyBorder="1" applyAlignment="1" applyProtection="1">
      <alignment/>
      <protection hidden="1"/>
    </xf>
    <xf numFmtId="190" fontId="7" fillId="5" borderId="38" xfId="0" applyNumberFormat="1" applyFont="1" applyFill="1" applyBorder="1" applyAlignment="1" applyProtection="1">
      <alignment/>
      <protection hidden="1"/>
    </xf>
    <xf numFmtId="190" fontId="2" fillId="0" borderId="35" xfId="0" applyNumberFormat="1" applyFont="1" applyBorder="1" applyAlignment="1" applyProtection="1">
      <alignment/>
      <protection hidden="1"/>
    </xf>
    <xf numFmtId="0" fontId="7" fillId="5" borderId="55" xfId="0" applyFont="1" applyFill="1" applyBorder="1" applyAlignment="1" applyProtection="1">
      <alignment/>
      <protection hidden="1"/>
    </xf>
    <xf numFmtId="190" fontId="7" fillId="5" borderId="40" xfId="0" applyNumberFormat="1" applyFont="1" applyFill="1" applyBorder="1" applyAlignment="1" applyProtection="1">
      <alignment/>
      <protection hidden="1"/>
    </xf>
    <xf numFmtId="0" fontId="12" fillId="0" borderId="51" xfId="0" applyFont="1" applyBorder="1" applyAlignment="1" applyProtection="1">
      <alignment/>
      <protection hidden="1"/>
    </xf>
    <xf numFmtId="188" fontId="1" fillId="0" borderId="12" xfId="0" applyNumberFormat="1" applyFont="1" applyFill="1" applyBorder="1" applyAlignment="1" applyProtection="1">
      <alignment/>
      <protection hidden="1"/>
    </xf>
    <xf numFmtId="188" fontId="13" fillId="5" borderId="56" xfId="0" applyNumberFormat="1" applyFont="1" applyFill="1" applyBorder="1" applyAlignment="1" applyProtection="1">
      <alignment/>
      <protection hidden="1"/>
    </xf>
    <xf numFmtId="188" fontId="13" fillId="5" borderId="57" xfId="0" applyNumberFormat="1" applyFont="1" applyFill="1" applyBorder="1" applyAlignment="1" applyProtection="1">
      <alignment/>
      <protection hidden="1"/>
    </xf>
    <xf numFmtId="188" fontId="13" fillId="5" borderId="58" xfId="0" applyNumberFormat="1" applyFont="1" applyFill="1" applyBorder="1" applyAlignment="1" applyProtection="1">
      <alignment/>
      <protection hidden="1"/>
    </xf>
    <xf numFmtId="188" fontId="13" fillId="5" borderId="59" xfId="0" applyNumberFormat="1" applyFont="1" applyFill="1" applyBorder="1" applyAlignment="1" applyProtection="1">
      <alignment/>
      <protection hidden="1"/>
    </xf>
    <xf numFmtId="188" fontId="13" fillId="5" borderId="60" xfId="0" applyNumberFormat="1" applyFont="1" applyFill="1" applyBorder="1" applyAlignment="1" applyProtection="1">
      <alignment/>
      <protection hidden="1"/>
    </xf>
    <xf numFmtId="188" fontId="13" fillId="5" borderId="61" xfId="0" applyNumberFormat="1" applyFont="1" applyFill="1" applyBorder="1" applyAlignment="1" applyProtection="1">
      <alignment/>
      <protection hidden="1"/>
    </xf>
    <xf numFmtId="10" fontId="2" fillId="0" borderId="35" xfId="0" applyNumberFormat="1" applyFont="1" applyBorder="1" applyAlignment="1" applyProtection="1">
      <alignment/>
      <protection hidden="1"/>
    </xf>
    <xf numFmtId="190" fontId="1" fillId="0" borderId="35" xfId="0" applyNumberFormat="1" applyFont="1" applyBorder="1" applyAlignment="1" applyProtection="1">
      <alignment/>
      <protection hidden="1"/>
    </xf>
    <xf numFmtId="188" fontId="2" fillId="3" borderId="36" xfId="0" applyNumberFormat="1" applyFont="1" applyFill="1" applyBorder="1" applyAlignment="1" applyProtection="1">
      <alignment/>
      <protection hidden="1"/>
    </xf>
    <xf numFmtId="188" fontId="2" fillId="0" borderId="12" xfId="0" applyNumberFormat="1" applyFont="1" applyFill="1" applyBorder="1" applyAlignment="1" applyProtection="1">
      <alignment/>
      <protection hidden="1"/>
    </xf>
    <xf numFmtId="0" fontId="2" fillId="0" borderId="62" xfId="0" applyFont="1" applyBorder="1" applyAlignment="1" applyProtection="1">
      <alignment/>
      <protection hidden="1"/>
    </xf>
    <xf numFmtId="10" fontId="2" fillId="0" borderId="63" xfId="0" applyNumberFormat="1" applyFont="1" applyBorder="1" applyAlignment="1" applyProtection="1">
      <alignment/>
      <protection hidden="1"/>
    </xf>
    <xf numFmtId="0" fontId="2" fillId="0" borderId="63" xfId="0" applyFont="1" applyBorder="1" applyAlignment="1" applyProtection="1">
      <alignment/>
      <protection hidden="1"/>
    </xf>
    <xf numFmtId="0" fontId="2" fillId="3" borderId="64" xfId="0" applyFont="1" applyFill="1" applyBorder="1" applyAlignment="1" applyProtection="1">
      <alignment/>
      <protection hidden="1"/>
    </xf>
    <xf numFmtId="0" fontId="13" fillId="5" borderId="65" xfId="0" applyFont="1" applyFill="1" applyBorder="1" applyAlignment="1" applyProtection="1">
      <alignment/>
      <protection hidden="1"/>
    </xf>
    <xf numFmtId="0" fontId="13" fillId="5" borderId="66" xfId="0" applyFont="1" applyFill="1" applyBorder="1" applyAlignment="1" applyProtection="1">
      <alignment/>
      <protection hidden="1"/>
    </xf>
    <xf numFmtId="0" fontId="13" fillId="5" borderId="67" xfId="0" applyFont="1" applyFill="1" applyBorder="1" applyAlignment="1" applyProtection="1">
      <alignment/>
      <protection hidden="1"/>
    </xf>
    <xf numFmtId="188" fontId="1" fillId="0" borderId="0" xfId="0" applyNumberFormat="1" applyFont="1" applyAlignment="1" applyProtection="1">
      <alignment/>
      <protection hidden="1"/>
    </xf>
    <xf numFmtId="0" fontId="17" fillId="0" borderId="0" xfId="0" applyFont="1" applyAlignment="1" applyProtection="1">
      <alignment/>
      <protection hidden="1"/>
    </xf>
    <xf numFmtId="193" fontId="0" fillId="0" borderId="0" xfId="0" applyNumberFormat="1" applyAlignment="1" applyProtection="1">
      <alignment/>
      <protection hidden="1"/>
    </xf>
    <xf numFmtId="188" fontId="0" fillId="0" borderId="0" xfId="0" applyNumberFormat="1" applyAlignment="1" applyProtection="1">
      <alignment/>
      <protection hidden="1"/>
    </xf>
    <xf numFmtId="2" fontId="0" fillId="0" borderId="0" xfId="0" applyNumberFormat="1" applyAlignment="1" applyProtection="1">
      <alignment/>
      <protection hidden="1"/>
    </xf>
    <xf numFmtId="188" fontId="8" fillId="0" borderId="18" xfId="0" applyNumberFormat="1" applyFont="1" applyFill="1" applyBorder="1" applyAlignment="1" applyProtection="1">
      <alignment horizontal="right"/>
      <protection hidden="1" locked="0"/>
    </xf>
    <xf numFmtId="188" fontId="8" fillId="0" borderId="68" xfId="0" applyNumberFormat="1" applyFont="1" applyFill="1" applyBorder="1" applyAlignment="1" applyProtection="1">
      <alignment horizontal="right"/>
      <protection hidden="1" locked="0"/>
    </xf>
    <xf numFmtId="188" fontId="8" fillId="0" borderId="35" xfId="0" applyNumberFormat="1" applyFont="1" applyFill="1" applyBorder="1" applyAlignment="1" applyProtection="1">
      <alignment horizontal="right"/>
      <protection hidden="1" locked="0"/>
    </xf>
    <xf numFmtId="188" fontId="8" fillId="0" borderId="69" xfId="0" applyNumberFormat="1" applyFont="1" applyFill="1" applyBorder="1" applyAlignment="1" applyProtection="1">
      <alignment horizontal="right"/>
      <protection hidden="1" locked="0"/>
    </xf>
    <xf numFmtId="188" fontId="8" fillId="0" borderId="20" xfId="0" applyNumberFormat="1" applyFont="1" applyFill="1" applyBorder="1" applyAlignment="1" applyProtection="1">
      <alignment horizontal="right"/>
      <protection hidden="1" locked="0"/>
    </xf>
    <xf numFmtId="188" fontId="8" fillId="0" borderId="70" xfId="0" applyNumberFormat="1" applyFont="1" applyFill="1" applyBorder="1" applyAlignment="1" applyProtection="1">
      <alignment horizontal="right"/>
      <protection hidden="1" locked="0"/>
    </xf>
    <xf numFmtId="188" fontId="2" fillId="0" borderId="35" xfId="0" applyNumberFormat="1" applyFont="1" applyFill="1" applyBorder="1" applyAlignment="1" applyProtection="1">
      <alignment horizontal="right"/>
      <protection hidden="1" locked="0"/>
    </xf>
    <xf numFmtId="188" fontId="2" fillId="0" borderId="69" xfId="0" applyNumberFormat="1" applyFont="1" applyFill="1" applyBorder="1" applyAlignment="1" applyProtection="1">
      <alignment horizontal="right"/>
      <protection hidden="1" locked="0"/>
    </xf>
    <xf numFmtId="188" fontId="8" fillId="0" borderId="22" xfId="0" applyNumberFormat="1" applyFont="1" applyFill="1" applyBorder="1" applyAlignment="1" applyProtection="1">
      <alignment horizontal="right"/>
      <protection hidden="1" locked="0"/>
    </xf>
    <xf numFmtId="188" fontId="8" fillId="0" borderId="71" xfId="0" applyNumberFormat="1" applyFont="1" applyFill="1" applyBorder="1" applyAlignment="1" applyProtection="1">
      <alignment horizontal="right"/>
      <protection hidden="1" locked="0"/>
    </xf>
    <xf numFmtId="0" fontId="0" fillId="0" borderId="12" xfId="0" applyBorder="1" applyAlignment="1" applyProtection="1">
      <alignment/>
      <protection hidden="1"/>
    </xf>
    <xf numFmtId="2" fontId="29" fillId="0" borderId="72" xfId="0" applyNumberFormat="1" applyFont="1" applyBorder="1" applyAlignment="1" applyProtection="1">
      <alignment horizontal="left"/>
      <protection hidden="1"/>
    </xf>
    <xf numFmtId="0" fontId="45" fillId="0" borderId="72" xfId="0" applyFont="1" applyBorder="1" applyAlignment="1" applyProtection="1">
      <alignment horizontal="left"/>
      <protection hidden="1"/>
    </xf>
    <xf numFmtId="0" fontId="0" fillId="0" borderId="73" xfId="0" applyBorder="1" applyAlignment="1" applyProtection="1">
      <alignment/>
      <protection hidden="1"/>
    </xf>
    <xf numFmtId="0" fontId="0" fillId="0" borderId="74" xfId="0" applyBorder="1" applyAlignment="1" applyProtection="1">
      <alignment/>
      <protection hidden="1"/>
    </xf>
    <xf numFmtId="0" fontId="2" fillId="0" borderId="8" xfId="0" applyFont="1" applyBorder="1" applyAlignment="1" applyProtection="1">
      <alignment/>
      <protection hidden="1"/>
    </xf>
    <xf numFmtId="0" fontId="45" fillId="0" borderId="0" xfId="0" applyFont="1" applyBorder="1" applyAlignment="1" applyProtection="1">
      <alignment horizontal="right"/>
      <protection hidden="1"/>
    </xf>
    <xf numFmtId="0" fontId="45" fillId="0" borderId="0" xfId="0" applyFont="1" applyBorder="1" applyAlignment="1" applyProtection="1">
      <alignment horizontal="left"/>
      <protection hidden="1"/>
    </xf>
    <xf numFmtId="14" fontId="45" fillId="0" borderId="0" xfId="0" applyNumberFormat="1" applyFont="1" applyBorder="1" applyAlignment="1" applyProtection="1">
      <alignment horizontal="left"/>
      <protection hidden="1"/>
    </xf>
    <xf numFmtId="0" fontId="34" fillId="0" borderId="6" xfId="0" applyFont="1" applyBorder="1" applyAlignment="1" applyProtection="1">
      <alignment horizontal="left" vertical="top"/>
      <protection hidden="1"/>
    </xf>
    <xf numFmtId="0" fontId="34" fillId="0" borderId="14" xfId="0" applyFont="1" applyBorder="1" applyAlignment="1" applyProtection="1">
      <alignment horizontal="left" vertical="top"/>
      <protection hidden="1"/>
    </xf>
    <xf numFmtId="0" fontId="34" fillId="0" borderId="75" xfId="0" applyFont="1" applyBorder="1" applyAlignment="1" applyProtection="1">
      <alignment/>
      <protection hidden="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horizontal="center"/>
    </xf>
    <xf numFmtId="0" fontId="34" fillId="0" borderId="73" xfId="0" applyFont="1" applyBorder="1" applyAlignment="1" applyProtection="1">
      <alignment horizontal="left" indent="2"/>
      <protection hidden="1"/>
    </xf>
    <xf numFmtId="0" fontId="34" fillId="0" borderId="12" xfId="0" applyFont="1" applyBorder="1" applyAlignment="1" applyProtection="1">
      <alignment horizontal="left" indent="2"/>
      <protection hidden="1"/>
    </xf>
    <xf numFmtId="0" fontId="34" fillId="0" borderId="16" xfId="0" applyFont="1" applyBorder="1" applyAlignment="1" applyProtection="1">
      <alignment horizontal="left" vertical="top" indent="2"/>
      <protection hidden="1"/>
    </xf>
    <xf numFmtId="0" fontId="31" fillId="0" borderId="12" xfId="0" applyFont="1" applyBorder="1" applyAlignment="1" applyProtection="1">
      <alignment horizontal="left" vertical="center" indent="1"/>
      <protection hidden="1"/>
    </xf>
    <xf numFmtId="0" fontId="0" fillId="0" borderId="0" xfId="0" applyFont="1" applyAlignment="1" applyProtection="1">
      <alignment/>
      <protection hidden="1"/>
    </xf>
    <xf numFmtId="2" fontId="17" fillId="6" borderId="76" xfId="0" applyNumberFormat="1" applyFont="1" applyFill="1" applyBorder="1" applyAlignment="1" applyProtection="1">
      <alignment horizontal="center"/>
      <protection hidden="1"/>
    </xf>
    <xf numFmtId="0" fontId="0" fillId="6" borderId="76" xfId="0" applyFont="1" applyFill="1" applyBorder="1" applyAlignment="1" applyProtection="1">
      <alignment/>
      <protection hidden="1" locked="0"/>
    </xf>
    <xf numFmtId="0" fontId="17" fillId="6" borderId="76" xfId="0" applyFont="1" applyFill="1" applyBorder="1" applyAlignment="1" applyProtection="1">
      <alignment/>
      <protection hidden="1" locked="0"/>
    </xf>
    <xf numFmtId="14" fontId="77" fillId="6" borderId="77" xfId="0" applyNumberFormat="1" applyFont="1" applyFill="1" applyBorder="1" applyAlignment="1" applyProtection="1">
      <alignment/>
      <protection hidden="1" locked="0"/>
    </xf>
    <xf numFmtId="0" fontId="17" fillId="6" borderId="76" xfId="0" applyFont="1" applyFill="1" applyBorder="1" applyAlignment="1" applyProtection="1">
      <alignment horizontal="center"/>
      <protection hidden="1" locked="0"/>
    </xf>
    <xf numFmtId="0" fontId="3" fillId="6" borderId="81" xfId="0" applyFont="1" applyFill="1" applyBorder="1" applyAlignment="1" applyProtection="1">
      <alignment/>
      <protection hidden="1" locked="0"/>
    </xf>
    <xf numFmtId="0" fontId="40" fillId="0" borderId="82" xfId="0" applyFont="1" applyBorder="1" applyAlignment="1" applyProtection="1">
      <alignment/>
      <protection hidden="1"/>
    </xf>
    <xf numFmtId="0" fontId="31" fillId="0" borderId="83" xfId="0" applyFont="1" applyBorder="1" applyAlignment="1" applyProtection="1">
      <alignment/>
      <protection hidden="1"/>
    </xf>
    <xf numFmtId="2" fontId="40" fillId="0" borderId="83" xfId="0" applyNumberFormat="1" applyFont="1" applyBorder="1" applyAlignment="1" applyProtection="1">
      <alignment horizontal="right"/>
      <protection hidden="1"/>
    </xf>
    <xf numFmtId="0" fontId="40" fillId="0" borderId="83" xfId="0" applyFont="1" applyBorder="1" applyAlignment="1" applyProtection="1">
      <alignment horizontal="right"/>
      <protection hidden="1"/>
    </xf>
    <xf numFmtId="0" fontId="40" fillId="0" borderId="7" xfId="0" applyFont="1" applyBorder="1" applyAlignment="1" applyProtection="1">
      <alignment horizontal="left" vertical="center" indent="1"/>
      <protection hidden="1"/>
    </xf>
    <xf numFmtId="0" fontId="40" fillId="0" borderId="84" xfId="0" applyFont="1" applyBorder="1" applyAlignment="1" applyProtection="1">
      <alignment horizontal="left" vertical="top" indent="1"/>
      <protection hidden="1"/>
    </xf>
    <xf numFmtId="0" fontId="40" fillId="0" borderId="85" xfId="0" applyFont="1" applyBorder="1" applyAlignment="1" applyProtection="1">
      <alignment vertical="top"/>
      <protection hidden="1"/>
    </xf>
    <xf numFmtId="10" fontId="40" fillId="0" borderId="85" xfId="0" applyNumberFormat="1" applyFont="1" applyBorder="1" applyAlignment="1" applyProtection="1">
      <alignment vertical="top"/>
      <protection hidden="1"/>
    </xf>
    <xf numFmtId="188" fontId="40" fillId="0" borderId="85" xfId="0" applyNumberFormat="1" applyFont="1" applyBorder="1" applyAlignment="1" applyProtection="1">
      <alignment horizontal="right" vertical="top"/>
      <protection hidden="1"/>
    </xf>
    <xf numFmtId="188" fontId="23" fillId="0" borderId="85" xfId="0" applyNumberFormat="1" applyFont="1" applyBorder="1" applyAlignment="1" applyProtection="1">
      <alignment vertical="top"/>
      <protection hidden="1"/>
    </xf>
    <xf numFmtId="0" fontId="40" fillId="0" borderId="86" xfId="0" applyFont="1" applyBorder="1" applyAlignment="1" applyProtection="1">
      <alignment vertical="center"/>
      <protection hidden="1"/>
    </xf>
    <xf numFmtId="0" fontId="2" fillId="0" borderId="0" xfId="0" applyFont="1" applyBorder="1" applyAlignment="1">
      <alignment/>
    </xf>
    <xf numFmtId="0" fontId="2" fillId="0" borderId="46" xfId="0" applyFont="1" applyBorder="1" applyAlignment="1" applyProtection="1">
      <alignment horizontal="center"/>
      <protection hidden="1"/>
    </xf>
    <xf numFmtId="0" fontId="2" fillId="0" borderId="87"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1" fillId="0" borderId="35" xfId="0" applyFont="1" applyBorder="1" applyAlignment="1" applyProtection="1">
      <alignment horizontal="center"/>
      <protection hidden="1"/>
    </xf>
    <xf numFmtId="0" fontId="43" fillId="0" borderId="88" xfId="0" applyFont="1" applyBorder="1" applyAlignment="1" applyProtection="1">
      <alignment vertical="center"/>
      <protection hidden="1"/>
    </xf>
    <xf numFmtId="0" fontId="42" fillId="0" borderId="89" xfId="0" applyFont="1" applyBorder="1" applyAlignment="1" applyProtection="1">
      <alignment horizontal="right" vertical="center"/>
      <protection hidden="1"/>
    </xf>
    <xf numFmtId="0" fontId="70" fillId="0" borderId="0" xfId="0" applyFont="1" applyBorder="1" applyAlignment="1" applyProtection="1">
      <alignment/>
      <protection hidden="1"/>
    </xf>
    <xf numFmtId="0" fontId="71" fillId="0" borderId="0" xfId="0" applyFont="1" applyBorder="1" applyAlignment="1" applyProtection="1">
      <alignment horizontal="center"/>
      <protection hidden="1"/>
    </xf>
    <xf numFmtId="0" fontId="2" fillId="0" borderId="12" xfId="0" applyFont="1" applyBorder="1" applyAlignment="1" applyProtection="1">
      <alignment horizontal="left" vertical="center"/>
      <protection hidden="1"/>
    </xf>
    <xf numFmtId="0" fontId="67" fillId="0" borderId="12" xfId="0" applyFont="1" applyBorder="1" applyAlignment="1" applyProtection="1">
      <alignment vertical="center"/>
      <protection hidden="1"/>
    </xf>
    <xf numFmtId="0" fontId="18" fillId="0" borderId="11" xfId="0" applyFont="1" applyBorder="1" applyAlignment="1" applyProtection="1">
      <alignment/>
      <protection hidden="1"/>
    </xf>
    <xf numFmtId="0" fontId="18" fillId="0" borderId="13" xfId="0" applyFont="1" applyBorder="1" applyAlignment="1" applyProtection="1">
      <alignment/>
      <protection hidden="1"/>
    </xf>
    <xf numFmtId="0" fontId="2" fillId="0" borderId="45" xfId="0" applyFont="1" applyBorder="1" applyAlignment="1" applyProtection="1">
      <alignment/>
      <protection hidden="1"/>
    </xf>
    <xf numFmtId="0" fontId="0" fillId="0" borderId="90" xfId="0" applyBorder="1" applyAlignment="1" applyProtection="1">
      <alignment horizontal="right"/>
      <protection hidden="1"/>
    </xf>
    <xf numFmtId="193" fontId="2" fillId="0" borderId="45" xfId="0" applyNumberFormat="1" applyFont="1" applyBorder="1" applyAlignment="1" applyProtection="1">
      <alignment horizontal="left"/>
      <protection hidden="1"/>
    </xf>
    <xf numFmtId="0" fontId="2" fillId="0" borderId="91" xfId="0" applyFont="1" applyBorder="1" applyAlignment="1" applyProtection="1">
      <alignment/>
      <protection hidden="1"/>
    </xf>
    <xf numFmtId="193" fontId="2" fillId="0" borderId="15" xfId="0" applyNumberFormat="1" applyFont="1" applyBorder="1" applyAlignment="1" applyProtection="1">
      <alignment horizontal="center"/>
      <protection hidden="1"/>
    </xf>
    <xf numFmtId="193" fontId="2" fillId="0" borderId="91" xfId="0" applyNumberFormat="1" applyFont="1" applyBorder="1" applyAlignment="1" applyProtection="1">
      <alignment horizontal="center"/>
      <protection hidden="1"/>
    </xf>
    <xf numFmtId="188" fontId="2" fillId="0" borderId="15" xfId="0" applyNumberFormat="1" applyFont="1" applyBorder="1" applyAlignment="1" applyProtection="1">
      <alignment horizontal="center"/>
      <protection hidden="1"/>
    </xf>
    <xf numFmtId="188" fontId="2" fillId="0" borderId="91" xfId="0" applyNumberFormat="1" applyFont="1" applyBorder="1" applyAlignment="1" applyProtection="1">
      <alignment horizontal="center"/>
      <protection hidden="1"/>
    </xf>
    <xf numFmtId="0" fontId="79" fillId="0" borderId="0" xfId="0" applyFont="1" applyBorder="1" applyAlignment="1" applyProtection="1">
      <alignment/>
      <protection hidden="1"/>
    </xf>
    <xf numFmtId="0" fontId="0" fillId="0" borderId="15" xfId="0" applyBorder="1" applyAlignment="1" applyProtection="1">
      <alignment horizontal="right"/>
      <protection hidden="1"/>
    </xf>
    <xf numFmtId="193" fontId="2" fillId="0" borderId="91" xfId="0" applyNumberFormat="1" applyFont="1" applyBorder="1" applyAlignment="1" applyProtection="1">
      <alignment horizontal="left"/>
      <protection hidden="1"/>
    </xf>
    <xf numFmtId="0" fontId="18" fillId="0" borderId="73" xfId="0" applyFont="1" applyBorder="1" applyAlignment="1" applyProtection="1">
      <alignment horizontal="left" indent="1"/>
      <protection hidden="1"/>
    </xf>
    <xf numFmtId="188" fontId="18" fillId="0" borderId="11" xfId="0" applyNumberFormat="1" applyFont="1" applyBorder="1" applyAlignment="1" applyProtection="1">
      <alignment horizontal="left"/>
      <protection hidden="1"/>
    </xf>
    <xf numFmtId="0" fontId="66" fillId="0" borderId="11" xfId="0" applyFont="1" applyBorder="1" applyAlignment="1" applyProtection="1">
      <alignment/>
      <protection hidden="1"/>
    </xf>
    <xf numFmtId="0" fontId="66" fillId="0" borderId="13" xfId="0" applyFont="1" applyBorder="1" applyAlignment="1" applyProtection="1">
      <alignment/>
      <protection hidden="1"/>
    </xf>
    <xf numFmtId="0" fontId="18" fillId="0" borderId="12" xfId="0" applyFont="1" applyBorder="1" applyAlignment="1" applyProtection="1">
      <alignment horizontal="left" indent="1"/>
      <protection hidden="1"/>
    </xf>
    <xf numFmtId="0" fontId="22" fillId="0" borderId="0" xfId="0" applyFont="1" applyBorder="1" applyAlignment="1" applyProtection="1">
      <alignment/>
      <protection hidden="1"/>
    </xf>
    <xf numFmtId="0" fontId="18" fillId="0" borderId="0" xfId="0" applyFont="1" applyBorder="1" applyAlignment="1" applyProtection="1">
      <alignment/>
      <protection hidden="1"/>
    </xf>
    <xf numFmtId="188" fontId="18" fillId="0" borderId="0" xfId="0" applyNumberFormat="1" applyFont="1" applyBorder="1" applyAlignment="1" applyProtection="1">
      <alignment horizontal="left"/>
      <protection hidden="1"/>
    </xf>
    <xf numFmtId="0" fontId="66" fillId="0" borderId="8" xfId="0" applyFont="1" applyBorder="1" applyAlignment="1" applyProtection="1">
      <alignment/>
      <protection hidden="1"/>
    </xf>
    <xf numFmtId="0" fontId="18" fillId="0" borderId="12" xfId="0" applyFont="1" applyBorder="1" applyAlignment="1" applyProtection="1">
      <alignment horizontal="left" vertical="top" indent="1"/>
      <protection hidden="1"/>
    </xf>
    <xf numFmtId="0" fontId="22" fillId="0" borderId="0" xfId="0" applyFont="1" applyBorder="1" applyAlignment="1" applyProtection="1">
      <alignment vertical="top"/>
      <protection hidden="1"/>
    </xf>
    <xf numFmtId="0" fontId="18" fillId="0" borderId="0" xfId="0" applyFont="1" applyBorder="1" applyAlignment="1" applyProtection="1">
      <alignment vertical="top"/>
      <protection hidden="1"/>
    </xf>
    <xf numFmtId="188" fontId="18" fillId="0" borderId="0" xfId="0" applyNumberFormat="1" applyFont="1" applyBorder="1" applyAlignment="1" applyProtection="1">
      <alignment horizontal="left" vertical="top"/>
      <protection hidden="1"/>
    </xf>
    <xf numFmtId="0" fontId="0" fillId="0" borderId="0" xfId="0" applyBorder="1" applyAlignment="1" applyProtection="1">
      <alignment vertical="top"/>
      <protection hidden="1"/>
    </xf>
    <xf numFmtId="0" fontId="66" fillId="0" borderId="8" xfId="0" applyFont="1" applyBorder="1" applyAlignment="1" applyProtection="1">
      <alignment vertical="top"/>
      <protection hidden="1"/>
    </xf>
    <xf numFmtId="0" fontId="66" fillId="0" borderId="16" xfId="0" applyFont="1" applyBorder="1" applyAlignment="1" applyProtection="1">
      <alignment horizontal="left" vertical="center" indent="1"/>
      <protection hidden="1"/>
    </xf>
    <xf numFmtId="0" fontId="0" fillId="0" borderId="6" xfId="0" applyBorder="1" applyAlignment="1" applyProtection="1">
      <alignment vertical="center"/>
      <protection hidden="1"/>
    </xf>
    <xf numFmtId="0" fontId="66" fillId="0" borderId="6" xfId="0" applyFont="1" applyBorder="1" applyAlignment="1" applyProtection="1">
      <alignment vertical="center"/>
      <protection hidden="1"/>
    </xf>
    <xf numFmtId="188" fontId="66" fillId="0" borderId="6" xfId="0" applyNumberFormat="1" applyFont="1" applyBorder="1" applyAlignment="1" applyProtection="1">
      <alignment horizontal="left" vertical="center"/>
      <protection hidden="1"/>
    </xf>
    <xf numFmtId="0" fontId="18" fillId="0" borderId="6" xfId="0" applyFont="1" applyBorder="1" applyAlignment="1" applyProtection="1">
      <alignment vertical="top"/>
      <protection hidden="1"/>
    </xf>
    <xf numFmtId="0" fontId="66" fillId="0" borderId="6" xfId="0" applyFont="1" applyBorder="1" applyAlignment="1" applyProtection="1">
      <alignment vertical="top"/>
      <protection hidden="1"/>
    </xf>
    <xf numFmtId="0" fontId="66" fillId="0" borderId="14" xfId="0" applyFont="1" applyBorder="1" applyAlignment="1" applyProtection="1">
      <alignment vertical="top"/>
      <protection hidden="1"/>
    </xf>
    <xf numFmtId="0" fontId="31" fillId="0" borderId="12" xfId="0" applyFont="1" applyBorder="1" applyAlignment="1" applyProtection="1">
      <alignment horizontal="left" indent="1"/>
      <protection hidden="1"/>
    </xf>
    <xf numFmtId="0" fontId="31" fillId="0" borderId="0" xfId="0" applyFont="1" applyBorder="1" applyAlignment="1" applyProtection="1">
      <alignment/>
      <protection hidden="1"/>
    </xf>
    <xf numFmtId="0" fontId="31" fillId="0" borderId="0" xfId="0" applyFont="1" applyBorder="1" applyAlignment="1" applyProtection="1">
      <alignment horizontal="center"/>
      <protection hidden="1"/>
    </xf>
    <xf numFmtId="0" fontId="31" fillId="0" borderId="0" xfId="0" applyFont="1" applyBorder="1" applyAlignment="1" applyProtection="1">
      <alignment horizontal="left"/>
      <protection hidden="1"/>
    </xf>
    <xf numFmtId="0" fontId="31" fillId="0" borderId="16" xfId="0" applyFont="1" applyBorder="1" applyAlignment="1" applyProtection="1">
      <alignment horizontal="left" vertical="top" indent="1"/>
      <protection hidden="1"/>
    </xf>
    <xf numFmtId="0" fontId="0" fillId="0" borderId="6" xfId="0" applyBorder="1" applyAlignment="1" applyProtection="1">
      <alignment vertical="top"/>
      <protection hidden="1"/>
    </xf>
    <xf numFmtId="0" fontId="31" fillId="0" borderId="6" xfId="0" applyFont="1" applyBorder="1" applyAlignment="1" applyProtection="1">
      <alignment vertical="top"/>
      <protection hidden="1"/>
    </xf>
    <xf numFmtId="188" fontId="31" fillId="0" borderId="6" xfId="0" applyNumberFormat="1" applyFont="1" applyBorder="1" applyAlignment="1" applyProtection="1">
      <alignment horizontal="center" vertical="top"/>
      <protection hidden="1"/>
    </xf>
    <xf numFmtId="0" fontId="7" fillId="0" borderId="16" xfId="0" applyFont="1" applyBorder="1" applyAlignment="1" applyProtection="1">
      <alignment horizontal="left" vertical="center" indent="1"/>
      <protection hidden="1"/>
    </xf>
    <xf numFmtId="0" fontId="72" fillId="0" borderId="6" xfId="0" applyFont="1" applyBorder="1" applyAlignment="1" applyProtection="1">
      <alignment vertical="center"/>
      <protection hidden="1"/>
    </xf>
    <xf numFmtId="188" fontId="7" fillId="0" borderId="6" xfId="0" applyNumberFormat="1" applyFont="1" applyBorder="1" applyAlignment="1" applyProtection="1">
      <alignment horizontal="left" vertical="center"/>
      <protection hidden="1"/>
    </xf>
    <xf numFmtId="0" fontId="0" fillId="0" borderId="89" xfId="0" applyBorder="1" applyAlignment="1" applyProtection="1">
      <alignment/>
      <protection hidden="1"/>
    </xf>
    <xf numFmtId="0" fontId="22" fillId="0" borderId="92" xfId="0" applyFont="1" applyBorder="1" applyAlignment="1" applyProtection="1">
      <alignment/>
      <protection hidden="1"/>
    </xf>
    <xf numFmtId="0" fontId="0" fillId="0" borderId="86" xfId="0" applyBorder="1" applyAlignment="1" applyProtection="1">
      <alignment/>
      <protection hidden="1"/>
    </xf>
    <xf numFmtId="10" fontId="0" fillId="0" borderId="86" xfId="0" applyNumberFormat="1" applyBorder="1" applyAlignment="1" applyProtection="1">
      <alignment/>
      <protection hidden="1"/>
    </xf>
    <xf numFmtId="0" fontId="0" fillId="0" borderId="72" xfId="0" applyBorder="1" applyAlignment="1" applyProtection="1">
      <alignment/>
      <protection hidden="1"/>
    </xf>
    <xf numFmtId="0" fontId="2" fillId="0" borderId="76" xfId="0" applyFont="1" applyBorder="1" applyAlignment="1">
      <alignment horizontal="center"/>
    </xf>
    <xf numFmtId="0" fontId="2" fillId="0" borderId="93" xfId="0" applyFont="1" applyBorder="1" applyAlignment="1">
      <alignment horizontal="center"/>
    </xf>
    <xf numFmtId="0" fontId="2" fillId="0" borderId="94" xfId="0" applyFont="1" applyBorder="1" applyAlignment="1">
      <alignment horizontal="center"/>
    </xf>
    <xf numFmtId="0" fontId="2" fillId="0" borderId="80" xfId="0" applyFont="1" applyBorder="1" applyAlignment="1">
      <alignment horizontal="center" vertical="top"/>
    </xf>
    <xf numFmtId="0" fontId="2" fillId="0" borderId="95" xfId="0" applyFont="1" applyBorder="1" applyAlignment="1">
      <alignment horizontal="center" vertical="top"/>
    </xf>
    <xf numFmtId="0" fontId="2" fillId="0" borderId="79" xfId="0" applyFont="1" applyBorder="1" applyAlignment="1">
      <alignment horizontal="center" vertical="top"/>
    </xf>
    <xf numFmtId="0" fontId="2" fillId="0" borderId="96"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0" fontId="0" fillId="0" borderId="95" xfId="0" applyBorder="1" applyAlignment="1">
      <alignment horizontal="center"/>
    </xf>
    <xf numFmtId="0" fontId="0" fillId="0" borderId="79" xfId="0" applyBorder="1" applyAlignment="1">
      <alignment horizontal="center"/>
    </xf>
    <xf numFmtId="0" fontId="2" fillId="0" borderId="97" xfId="0" applyFont="1" applyBorder="1" applyAlignment="1">
      <alignment horizontal="center"/>
    </xf>
    <xf numFmtId="0" fontId="2" fillId="0" borderId="98" xfId="0" applyFont="1" applyBorder="1" applyAlignment="1">
      <alignment horizontal="center"/>
    </xf>
    <xf numFmtId="0" fontId="2" fillId="0" borderId="99" xfId="0" applyFont="1" applyBorder="1" applyAlignment="1">
      <alignment horizontal="center" vertical="top"/>
    </xf>
    <xf numFmtId="0" fontId="0" fillId="0" borderId="11" xfId="0" applyFont="1" applyBorder="1" applyAlignment="1" applyProtection="1">
      <alignment/>
      <protection hidden="1"/>
    </xf>
    <xf numFmtId="0" fontId="0" fillId="0" borderId="13" xfId="0" applyFont="1" applyBorder="1" applyAlignment="1" applyProtection="1">
      <alignment/>
      <protection hidden="1"/>
    </xf>
    <xf numFmtId="188" fontId="2" fillId="0" borderId="0" xfId="0" applyNumberFormat="1" applyFont="1" applyBorder="1" applyAlignment="1" applyProtection="1">
      <alignment horizontal="left" vertical="center"/>
      <protection hidden="1"/>
    </xf>
    <xf numFmtId="0" fontId="2" fillId="0" borderId="0" xfId="0" applyFont="1" applyBorder="1" applyAlignment="1" applyProtection="1">
      <alignment horizontal="right" vertical="center"/>
      <protection hidden="1"/>
    </xf>
    <xf numFmtId="9" fontId="2" fillId="0" borderId="0" xfId="19" applyFont="1" applyBorder="1" applyAlignment="1" applyProtection="1">
      <alignment horizontal="left" vertical="center"/>
      <protection hidden="1"/>
    </xf>
    <xf numFmtId="0" fontId="0" fillId="0" borderId="0" xfId="0" applyFont="1" applyBorder="1" applyAlignment="1" applyProtection="1">
      <alignment/>
      <protection hidden="1"/>
    </xf>
    <xf numFmtId="0" fontId="0" fillId="0" borderId="8" xfId="0" applyFont="1" applyBorder="1" applyAlignment="1" applyProtection="1">
      <alignment/>
      <protection hidden="1"/>
    </xf>
    <xf numFmtId="0" fontId="0" fillId="0" borderId="0" xfId="0" applyBorder="1" applyAlignment="1">
      <alignment/>
    </xf>
    <xf numFmtId="0" fontId="0" fillId="0" borderId="0" xfId="0" applyBorder="1" applyAlignment="1">
      <alignment/>
    </xf>
    <xf numFmtId="0" fontId="0" fillId="0" borderId="73" xfId="0" applyFont="1" applyBorder="1" applyAlignment="1" applyProtection="1">
      <alignment/>
      <protection hidden="1"/>
    </xf>
    <xf numFmtId="0" fontId="0" fillId="0" borderId="12" xfId="0" applyBorder="1" applyAlignment="1">
      <alignment/>
    </xf>
    <xf numFmtId="0" fontId="0" fillId="0" borderId="100" xfId="0" applyFont="1" applyBorder="1" applyAlignment="1" applyProtection="1">
      <alignment/>
      <protection hidden="1"/>
    </xf>
    <xf numFmtId="0" fontId="0" fillId="0" borderId="101" xfId="0" applyFont="1" applyBorder="1" applyAlignment="1" applyProtection="1">
      <alignment/>
      <protection hidden="1"/>
    </xf>
    <xf numFmtId="0" fontId="0" fillId="0" borderId="102" xfId="0" applyFont="1" applyBorder="1" applyAlignment="1" applyProtection="1">
      <alignment/>
      <protection hidden="1"/>
    </xf>
    <xf numFmtId="0" fontId="0" fillId="0" borderId="101" xfId="0" applyFont="1" applyBorder="1" applyAlignment="1" applyProtection="1">
      <alignment horizontal="right"/>
      <protection hidden="1"/>
    </xf>
    <xf numFmtId="188" fontId="2" fillId="0" borderId="101" xfId="0" applyNumberFormat="1" applyFont="1" applyBorder="1" applyAlignment="1" applyProtection="1">
      <alignment horizontal="left" vertical="center"/>
      <protection hidden="1"/>
    </xf>
    <xf numFmtId="188" fontId="31" fillId="0" borderId="0" xfId="0" applyNumberFormat="1" applyFont="1" applyBorder="1" applyAlignment="1" applyProtection="1">
      <alignment vertical="center"/>
      <protection hidden="1" locked="0"/>
    </xf>
    <xf numFmtId="188" fontId="40" fillId="0" borderId="85" xfId="0" applyNumberFormat="1" applyFont="1" applyBorder="1" applyAlignment="1" applyProtection="1">
      <alignment vertical="top"/>
      <protection hidden="1" locked="0"/>
    </xf>
    <xf numFmtId="10" fontId="17" fillId="7" borderId="76" xfId="0" applyNumberFormat="1" applyFont="1" applyFill="1" applyBorder="1" applyAlignment="1" applyProtection="1">
      <alignment/>
      <protection hidden="1" locked="0"/>
    </xf>
    <xf numFmtId="10" fontId="33" fillId="0" borderId="8" xfId="0" applyNumberFormat="1" applyFont="1" applyBorder="1" applyAlignment="1" applyProtection="1">
      <alignment horizontal="left"/>
      <protection hidden="1"/>
    </xf>
    <xf numFmtId="10" fontId="2" fillId="0" borderId="0" xfId="19" applyNumberFormat="1" applyFont="1" applyBorder="1" applyAlignment="1" applyProtection="1">
      <alignment horizontal="left" vertical="center"/>
      <protection hidden="1"/>
    </xf>
    <xf numFmtId="188" fontId="8" fillId="0" borderId="46" xfId="0" applyNumberFormat="1" applyFont="1" applyFill="1" applyBorder="1" applyAlignment="1" applyProtection="1">
      <alignment horizontal="right"/>
      <protection hidden="1" locked="0"/>
    </xf>
    <xf numFmtId="188" fontId="8" fillId="0" borderId="103" xfId="0" applyNumberFormat="1" applyFont="1" applyFill="1" applyBorder="1" applyAlignment="1" applyProtection="1">
      <alignment horizontal="right"/>
      <protection hidden="1" locked="0"/>
    </xf>
    <xf numFmtId="188" fontId="3" fillId="4" borderId="104" xfId="0" applyNumberFormat="1" applyFont="1" applyFill="1" applyBorder="1" applyAlignment="1" applyProtection="1">
      <alignment horizontal="right"/>
      <protection hidden="1"/>
    </xf>
    <xf numFmtId="188" fontId="2" fillId="0" borderId="87" xfId="0" applyNumberFormat="1" applyFont="1" applyFill="1" applyBorder="1" applyAlignment="1" applyProtection="1">
      <alignment horizontal="right"/>
      <protection hidden="1"/>
    </xf>
    <xf numFmtId="0" fontId="1" fillId="0" borderId="105" xfId="0" applyFont="1" applyBorder="1" applyAlignment="1" applyProtection="1">
      <alignment horizontal="left"/>
      <protection hidden="1"/>
    </xf>
    <xf numFmtId="188" fontId="2" fillId="0" borderId="106" xfId="0" applyNumberFormat="1" applyFont="1" applyBorder="1" applyAlignment="1" applyProtection="1">
      <alignment horizontal="right"/>
      <protection hidden="1" locked="0"/>
    </xf>
    <xf numFmtId="188" fontId="2" fillId="0" borderId="107" xfId="0" applyNumberFormat="1" applyFont="1" applyBorder="1" applyAlignment="1" applyProtection="1">
      <alignment horizontal="right"/>
      <protection hidden="1" locked="0"/>
    </xf>
    <xf numFmtId="188" fontId="3" fillId="4" borderId="108" xfId="0" applyNumberFormat="1" applyFont="1" applyFill="1" applyBorder="1" applyAlignment="1" applyProtection="1">
      <alignment horizontal="right"/>
      <protection hidden="1"/>
    </xf>
    <xf numFmtId="0" fontId="2" fillId="0" borderId="106" xfId="0" applyFont="1" applyBorder="1" applyAlignment="1" applyProtection="1">
      <alignment/>
      <protection hidden="1"/>
    </xf>
    <xf numFmtId="188" fontId="1" fillId="0" borderId="109" xfId="0" applyNumberFormat="1" applyFont="1" applyFill="1" applyBorder="1" applyAlignment="1" applyProtection="1">
      <alignment horizontal="right"/>
      <protection hidden="1"/>
    </xf>
    <xf numFmtId="0" fontId="1" fillId="0" borderId="105" xfId="0" applyFont="1" applyFill="1" applyBorder="1" applyAlignment="1" applyProtection="1">
      <alignment horizontal="left"/>
      <protection hidden="1"/>
    </xf>
    <xf numFmtId="188" fontId="2" fillId="0" borderId="106" xfId="0" applyNumberFormat="1" applyFont="1" applyFill="1" applyBorder="1" applyAlignment="1" applyProtection="1">
      <alignment horizontal="right"/>
      <protection hidden="1" locked="0"/>
    </xf>
    <xf numFmtId="188" fontId="2" fillId="0" borderId="107" xfId="0" applyNumberFormat="1" applyFont="1" applyFill="1" applyBorder="1" applyAlignment="1" applyProtection="1">
      <alignment horizontal="right"/>
      <protection hidden="1" locked="0"/>
    </xf>
    <xf numFmtId="0" fontId="1" fillId="3" borderId="110" xfId="0" applyFont="1" applyFill="1" applyBorder="1" applyAlignment="1" applyProtection="1">
      <alignment horizontal="center"/>
      <protection hidden="1"/>
    </xf>
    <xf numFmtId="0" fontId="2" fillId="3" borderId="111" xfId="0" applyFont="1" applyFill="1" applyBorder="1" applyAlignment="1" applyProtection="1">
      <alignment horizontal="center"/>
      <protection hidden="1"/>
    </xf>
    <xf numFmtId="0" fontId="2" fillId="3" borderId="112" xfId="0" applyFont="1" applyFill="1" applyBorder="1" applyAlignment="1" applyProtection="1">
      <alignment horizontal="center"/>
      <protection hidden="1"/>
    </xf>
    <xf numFmtId="0" fontId="2" fillId="3" borderId="113" xfId="0" applyFont="1" applyFill="1" applyBorder="1" applyAlignment="1" applyProtection="1">
      <alignment horizontal="center"/>
      <protection hidden="1"/>
    </xf>
    <xf numFmtId="0" fontId="3" fillId="3" borderId="114" xfId="0" applyFont="1" applyFill="1" applyBorder="1" applyAlignment="1" applyProtection="1">
      <alignment horizontal="center"/>
      <protection hidden="1"/>
    </xf>
    <xf numFmtId="0" fontId="1" fillId="3" borderId="115" xfId="0" applyFont="1" applyFill="1" applyBorder="1" applyAlignment="1" applyProtection="1">
      <alignment horizontal="center"/>
      <protection hidden="1"/>
    </xf>
    <xf numFmtId="0" fontId="1" fillId="2" borderId="105" xfId="0" applyFont="1" applyFill="1" applyBorder="1" applyAlignment="1" applyProtection="1">
      <alignment horizontal="left"/>
      <protection hidden="1"/>
    </xf>
    <xf numFmtId="0" fontId="2" fillId="2" borderId="116" xfId="0" applyFont="1" applyFill="1" applyBorder="1" applyAlignment="1" applyProtection="1">
      <alignment horizontal="left"/>
      <protection hidden="1"/>
    </xf>
    <xf numFmtId="0" fontId="2" fillId="2" borderId="106" xfId="0" applyFont="1" applyFill="1" applyBorder="1" applyAlignment="1" applyProtection="1">
      <alignment horizontal="left"/>
      <protection hidden="1"/>
    </xf>
    <xf numFmtId="0" fontId="2" fillId="2" borderId="117" xfId="0" applyFont="1" applyFill="1" applyBorder="1" applyAlignment="1" applyProtection="1">
      <alignment horizontal="left"/>
      <protection hidden="1"/>
    </xf>
    <xf numFmtId="0" fontId="3" fillId="4" borderId="108" xfId="0" applyFont="1" applyFill="1" applyBorder="1" applyAlignment="1" applyProtection="1">
      <alignment horizontal="left"/>
      <protection hidden="1"/>
    </xf>
    <xf numFmtId="0" fontId="1" fillId="2" borderId="109" xfId="0" applyFont="1" applyFill="1" applyBorder="1" applyAlignment="1" applyProtection="1">
      <alignment horizontal="left"/>
      <protection hidden="1"/>
    </xf>
    <xf numFmtId="0" fontId="9" fillId="0" borderId="118" xfId="0" applyFont="1" applyFill="1" applyBorder="1" applyAlignment="1" applyProtection="1">
      <alignment horizontal="left"/>
      <protection hidden="1"/>
    </xf>
    <xf numFmtId="188" fontId="1" fillId="0" borderId="43" xfId="0" applyNumberFormat="1" applyFont="1" applyFill="1" applyBorder="1" applyAlignment="1" applyProtection="1">
      <alignment horizontal="right"/>
      <protection hidden="1"/>
    </xf>
    <xf numFmtId="0" fontId="9" fillId="0" borderId="119" xfId="0" applyFont="1" applyFill="1" applyBorder="1" applyAlignment="1" applyProtection="1">
      <alignment horizontal="left"/>
      <protection hidden="1"/>
    </xf>
    <xf numFmtId="0" fontId="9" fillId="0" borderId="120" xfId="0" applyFont="1" applyFill="1" applyBorder="1" applyAlignment="1" applyProtection="1">
      <alignment horizontal="left"/>
      <protection hidden="1"/>
    </xf>
    <xf numFmtId="188" fontId="1" fillId="0" borderId="121" xfId="0" applyNumberFormat="1" applyFont="1" applyFill="1" applyBorder="1" applyAlignment="1" applyProtection="1">
      <alignment horizontal="right"/>
      <protection hidden="1"/>
    </xf>
    <xf numFmtId="0" fontId="9" fillId="0" borderId="122" xfId="0" applyFont="1" applyFill="1" applyBorder="1" applyAlignment="1" applyProtection="1">
      <alignment horizontal="left"/>
      <protection hidden="1"/>
    </xf>
    <xf numFmtId="188" fontId="1" fillId="0" borderId="123" xfId="0" applyNumberFormat="1" applyFont="1" applyFill="1" applyBorder="1" applyAlignment="1" applyProtection="1">
      <alignment horizontal="right"/>
      <protection hidden="1"/>
    </xf>
    <xf numFmtId="0" fontId="1" fillId="0" borderId="119" xfId="0" applyFont="1" applyFill="1" applyBorder="1" applyAlignment="1" applyProtection="1">
      <alignment horizontal="left"/>
      <protection hidden="1"/>
    </xf>
    <xf numFmtId="0" fontId="9" fillId="0" borderId="124" xfId="0" applyFont="1" applyFill="1" applyBorder="1" applyAlignment="1" applyProtection="1">
      <alignment horizontal="left"/>
      <protection hidden="1"/>
    </xf>
    <xf numFmtId="188" fontId="1" fillId="0" borderId="40" xfId="0" applyNumberFormat="1" applyFont="1" applyFill="1" applyBorder="1" applyAlignment="1" applyProtection="1">
      <alignment horizontal="right"/>
      <protection hidden="1"/>
    </xf>
    <xf numFmtId="188" fontId="7" fillId="0" borderId="6" xfId="0" applyNumberFormat="1" applyFont="1" applyBorder="1" applyAlignment="1" applyProtection="1">
      <alignment horizontal="center" vertical="center"/>
      <protection hidden="1"/>
    </xf>
    <xf numFmtId="188" fontId="7" fillId="0" borderId="14" xfId="0" applyNumberFormat="1" applyFont="1" applyBorder="1" applyAlignment="1" applyProtection="1">
      <alignment horizontal="center" vertical="center"/>
      <protection hidden="1"/>
    </xf>
    <xf numFmtId="0" fontId="0" fillId="0" borderId="7" xfId="0" applyFont="1" applyBorder="1" applyAlignment="1" applyProtection="1">
      <alignment horizontal="left"/>
      <protection hidden="1"/>
    </xf>
    <xf numFmtId="0" fontId="0" fillId="0" borderId="125" xfId="0" applyBorder="1" applyAlignment="1">
      <alignment/>
    </xf>
    <xf numFmtId="0" fontId="0" fillId="0" borderId="73" xfId="0" applyBorder="1" applyAlignment="1">
      <alignment/>
    </xf>
    <xf numFmtId="0" fontId="0" fillId="0" borderId="11" xfId="0" applyBorder="1" applyAlignment="1">
      <alignment/>
    </xf>
    <xf numFmtId="0" fontId="0" fillId="0" borderId="13" xfId="0" applyBorder="1" applyAlignment="1">
      <alignment/>
    </xf>
    <xf numFmtId="193" fontId="0" fillId="0" borderId="73" xfId="0" applyNumberFormat="1" applyBorder="1" applyAlignment="1">
      <alignment/>
    </xf>
    <xf numFmtId="193" fontId="0" fillId="0" borderId="11" xfId="0" applyNumberFormat="1" applyBorder="1" applyAlignment="1">
      <alignment/>
    </xf>
    <xf numFmtId="193" fontId="0" fillId="0" borderId="13" xfId="0" applyNumberFormat="1" applyBorder="1" applyAlignment="1">
      <alignment/>
    </xf>
    <xf numFmtId="0" fontId="0" fillId="0" borderId="126" xfId="0" applyBorder="1" applyAlignment="1">
      <alignment/>
    </xf>
    <xf numFmtId="193" fontId="0" fillId="0" borderId="12" xfId="0" applyNumberFormat="1" applyBorder="1" applyAlignment="1">
      <alignment/>
    </xf>
    <xf numFmtId="193" fontId="0" fillId="0" borderId="0" xfId="0" applyNumberFormat="1" applyBorder="1" applyAlignment="1">
      <alignment/>
    </xf>
    <xf numFmtId="193" fontId="0" fillId="0" borderId="8" xfId="0" applyNumberFormat="1" applyBorder="1" applyAlignment="1">
      <alignment/>
    </xf>
    <xf numFmtId="0" fontId="2" fillId="0" borderId="126" xfId="0" applyFont="1" applyBorder="1" applyAlignment="1">
      <alignment vertical="top"/>
    </xf>
    <xf numFmtId="193" fontId="2" fillId="0" borderId="12" xfId="0" applyNumberFormat="1" applyFont="1" applyBorder="1" applyAlignment="1">
      <alignment vertical="top"/>
    </xf>
    <xf numFmtId="193" fontId="2" fillId="0" borderId="0" xfId="0" applyNumberFormat="1" applyFont="1" applyBorder="1" applyAlignment="1">
      <alignment vertical="top"/>
    </xf>
    <xf numFmtId="193" fontId="0" fillId="0" borderId="8" xfId="0" applyNumberFormat="1" applyBorder="1" applyAlignment="1">
      <alignment/>
    </xf>
    <xf numFmtId="0" fontId="0" fillId="0" borderId="8" xfId="0" applyBorder="1" applyAlignment="1">
      <alignment/>
    </xf>
    <xf numFmtId="0" fontId="0" fillId="0" borderId="126" xfId="0" applyBorder="1" applyAlignment="1">
      <alignment/>
    </xf>
    <xf numFmtId="193" fontId="0" fillId="0" borderId="12" xfId="0" applyNumberFormat="1" applyBorder="1" applyAlignment="1">
      <alignment/>
    </xf>
    <xf numFmtId="193" fontId="0" fillId="0" borderId="0" xfId="0" applyNumberFormat="1" applyBorder="1" applyAlignment="1">
      <alignment/>
    </xf>
    <xf numFmtId="193" fontId="0" fillId="0" borderId="16" xfId="0" applyNumberFormat="1" applyBorder="1" applyAlignment="1">
      <alignment/>
    </xf>
    <xf numFmtId="193" fontId="0" fillId="0" borderId="6" xfId="0" applyNumberFormat="1" applyBorder="1" applyAlignment="1">
      <alignment/>
    </xf>
    <xf numFmtId="193" fontId="0" fillId="0" borderId="14" xfId="0" applyNumberFormat="1" applyBorder="1" applyAlignment="1">
      <alignment/>
    </xf>
    <xf numFmtId="0" fontId="0" fillId="0" borderId="77" xfId="0" applyBorder="1" applyAlignment="1">
      <alignment/>
    </xf>
    <xf numFmtId="193" fontId="0" fillId="0" borderId="16" xfId="0" applyNumberFormat="1" applyBorder="1" applyAlignment="1">
      <alignment/>
    </xf>
    <xf numFmtId="193" fontId="0" fillId="0" borderId="6" xfId="0" applyNumberFormat="1" applyBorder="1" applyAlignment="1">
      <alignment/>
    </xf>
    <xf numFmtId="193" fontId="0" fillId="0" borderId="14" xfId="0" applyNumberFormat="1" applyBorder="1" applyAlignment="1">
      <alignment/>
    </xf>
    <xf numFmtId="0" fontId="2" fillId="0" borderId="76" xfId="0" applyFont="1" applyBorder="1" applyAlignment="1">
      <alignment vertical="top"/>
    </xf>
    <xf numFmtId="0" fontId="0" fillId="0" borderId="76" xfId="0" applyBorder="1" applyAlignment="1">
      <alignment/>
    </xf>
    <xf numFmtId="0" fontId="0" fillId="0" borderId="16" xfId="0" applyBorder="1" applyAlignment="1" applyProtection="1">
      <alignment/>
      <protection hidden="1"/>
    </xf>
    <xf numFmtId="0" fontId="45" fillId="0" borderId="6" xfId="0" applyFont="1" applyBorder="1" applyAlignment="1" applyProtection="1">
      <alignment horizontal="right"/>
      <protection hidden="1"/>
    </xf>
    <xf numFmtId="0" fontId="45" fillId="0" borderId="6" xfId="0" applyFont="1" applyBorder="1" applyAlignment="1" applyProtection="1">
      <alignment horizontal="left"/>
      <protection hidden="1"/>
    </xf>
    <xf numFmtId="14" fontId="45" fillId="0" borderId="6" xfId="0" applyNumberFormat="1" applyFont="1" applyBorder="1" applyAlignment="1" applyProtection="1">
      <alignment horizontal="left"/>
      <protection hidden="1"/>
    </xf>
    <xf numFmtId="0" fontId="86" fillId="0" borderId="12" xfId="0" applyFont="1" applyBorder="1" applyAlignment="1" applyProtection="1">
      <alignment/>
      <protection hidden="1"/>
    </xf>
    <xf numFmtId="0" fontId="86" fillId="0" borderId="0" xfId="0" applyFont="1" applyBorder="1" applyAlignment="1" applyProtection="1">
      <alignment/>
      <protection hidden="1"/>
    </xf>
    <xf numFmtId="188" fontId="86" fillId="0" borderId="0" xfId="0" applyNumberFormat="1" applyFont="1" applyBorder="1" applyAlignment="1" applyProtection="1">
      <alignment/>
      <protection hidden="1"/>
    </xf>
    <xf numFmtId="0" fontId="87" fillId="0" borderId="0" xfId="0" applyFont="1" applyBorder="1" applyAlignment="1" applyProtection="1">
      <alignment/>
      <protection hidden="1"/>
    </xf>
    <xf numFmtId="0" fontId="88" fillId="0" borderId="0" xfId="0" applyFont="1" applyBorder="1" applyAlignment="1" applyProtection="1">
      <alignment/>
      <protection hidden="1"/>
    </xf>
    <xf numFmtId="2" fontId="88" fillId="0" borderId="0" xfId="0" applyNumberFormat="1" applyFont="1" applyBorder="1" applyAlignment="1" applyProtection="1">
      <alignment/>
      <protection hidden="1"/>
    </xf>
    <xf numFmtId="0" fontId="0" fillId="8" borderId="12" xfId="0" applyFill="1" applyBorder="1" applyAlignment="1" applyProtection="1">
      <alignment/>
      <protection hidden="1"/>
    </xf>
    <xf numFmtId="0" fontId="0" fillId="8" borderId="0" xfId="0" applyFill="1" applyBorder="1" applyAlignment="1" applyProtection="1">
      <alignment/>
      <protection hidden="1"/>
    </xf>
    <xf numFmtId="193" fontId="0" fillId="8" borderId="0" xfId="0" applyNumberFormat="1" applyFill="1" applyBorder="1" applyAlignment="1" applyProtection="1">
      <alignment/>
      <protection hidden="1"/>
    </xf>
    <xf numFmtId="0" fontId="0" fillId="9" borderId="127" xfId="0" applyFill="1" applyBorder="1" applyAlignment="1" applyProtection="1">
      <alignment/>
      <protection hidden="1"/>
    </xf>
    <xf numFmtId="0" fontId="0" fillId="9" borderId="0" xfId="0" applyFill="1" applyBorder="1" applyAlignment="1" applyProtection="1">
      <alignment/>
      <protection hidden="1"/>
    </xf>
    <xf numFmtId="193" fontId="0" fillId="9" borderId="0" xfId="0" applyNumberFormat="1" applyFill="1" applyBorder="1" applyAlignment="1" applyProtection="1">
      <alignment/>
      <protection hidden="1"/>
    </xf>
    <xf numFmtId="0" fontId="0" fillId="10" borderId="127" xfId="0" applyFill="1" applyBorder="1" applyAlignment="1" applyProtection="1">
      <alignment/>
      <protection hidden="1"/>
    </xf>
    <xf numFmtId="0" fontId="0" fillId="10" borderId="0" xfId="0" applyFill="1" applyBorder="1" applyAlignment="1" applyProtection="1">
      <alignment/>
      <protection hidden="1"/>
    </xf>
    <xf numFmtId="193" fontId="0" fillId="10" borderId="0" xfId="0" applyNumberFormat="1" applyFill="1" applyBorder="1" applyAlignment="1" applyProtection="1">
      <alignment/>
      <protection hidden="1"/>
    </xf>
    <xf numFmtId="0" fontId="89" fillId="0" borderId="73" xfId="0" applyFont="1" applyBorder="1" applyAlignment="1" applyProtection="1">
      <alignment horizontal="left" vertical="center"/>
      <protection hidden="1"/>
    </xf>
    <xf numFmtId="0" fontId="89" fillId="0" borderId="12" xfId="0" applyFont="1" applyBorder="1" applyAlignment="1" applyProtection="1">
      <alignment horizontal="left" vertical="center" indent="2"/>
      <protection hidden="1"/>
    </xf>
    <xf numFmtId="0" fontId="89" fillId="0" borderId="12" xfId="0" applyFont="1" applyBorder="1" applyAlignment="1" applyProtection="1">
      <alignment horizontal="center" vertical="center"/>
      <protection hidden="1"/>
    </xf>
    <xf numFmtId="0" fontId="89" fillId="0" borderId="16" xfId="0" applyFont="1" applyBorder="1" applyAlignment="1" applyProtection="1">
      <alignment horizontal="center" vertical="center"/>
      <protection hidden="1"/>
    </xf>
    <xf numFmtId="0" fontId="90" fillId="0" borderId="73"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31" fillId="0" borderId="11" xfId="0" applyFont="1" applyBorder="1" applyAlignment="1" applyProtection="1">
      <alignment horizontal="center" vertical="center"/>
      <protection hidden="1"/>
    </xf>
    <xf numFmtId="0" fontId="22" fillId="0" borderId="0" xfId="0" applyFont="1" applyBorder="1" applyAlignment="1" applyProtection="1">
      <alignment/>
      <protection hidden="1"/>
    </xf>
    <xf numFmtId="0" fontId="22" fillId="0" borderId="8" xfId="0" applyFont="1" applyBorder="1" applyAlignment="1" applyProtection="1">
      <alignment/>
      <protection hidden="1"/>
    </xf>
    <xf numFmtId="0" fontId="90" fillId="0" borderId="0" xfId="0" applyFont="1" applyBorder="1" applyAlignment="1" applyProtection="1">
      <alignment horizontal="center"/>
      <protection hidden="1"/>
    </xf>
    <xf numFmtId="0" fontId="8" fillId="0" borderId="0" xfId="0" applyFont="1" applyBorder="1" applyAlignment="1" applyProtection="1">
      <alignment horizontal="center"/>
      <protection hidden="1"/>
    </xf>
    <xf numFmtId="193" fontId="22" fillId="0" borderId="8" xfId="0" applyNumberFormat="1" applyFont="1" applyBorder="1" applyAlignment="1" applyProtection="1">
      <alignment/>
      <protection hidden="1"/>
    </xf>
    <xf numFmtId="193" fontId="91" fillId="0" borderId="6" xfId="0" applyNumberFormat="1" applyFont="1" applyBorder="1" applyAlignment="1" applyProtection="1">
      <alignment horizontal="center" vertical="top"/>
      <protection hidden="1"/>
    </xf>
    <xf numFmtId="193" fontId="92" fillId="0" borderId="6" xfId="0" applyNumberFormat="1" applyFont="1" applyBorder="1" applyAlignment="1" applyProtection="1">
      <alignment horizontal="center" vertical="top"/>
      <protection hidden="1"/>
    </xf>
    <xf numFmtId="193" fontId="93" fillId="0" borderId="6" xfId="0" applyNumberFormat="1" applyFont="1" applyBorder="1" applyAlignment="1" applyProtection="1">
      <alignment horizontal="center" vertical="top"/>
      <protection hidden="1"/>
    </xf>
    <xf numFmtId="0" fontId="22" fillId="0" borderId="6" xfId="0" applyFont="1" applyBorder="1" applyAlignment="1" applyProtection="1">
      <alignment/>
      <protection hidden="1"/>
    </xf>
    <xf numFmtId="0" fontId="22" fillId="0" borderId="14" xfId="0" applyFont="1" applyBorder="1" applyAlignment="1" applyProtection="1">
      <alignment/>
      <protection hidden="1"/>
    </xf>
    <xf numFmtId="0" fontId="0" fillId="0" borderId="77" xfId="0" applyBorder="1" applyAlignment="1" applyProtection="1">
      <alignment/>
      <protection hidden="1"/>
    </xf>
    <xf numFmtId="0" fontId="98" fillId="5" borderId="76" xfId="0" applyFont="1" applyFill="1" applyBorder="1" applyAlignment="1" applyProtection="1">
      <alignment horizontal="center" textRotation="180" wrapText="1"/>
      <protection hidden="1"/>
    </xf>
    <xf numFmtId="0" fontId="0" fillId="0" borderId="101" xfId="0" applyBorder="1" applyAlignment="1" applyProtection="1">
      <alignment/>
      <protection hidden="1"/>
    </xf>
    <xf numFmtId="0" fontId="0" fillId="0" borderId="0" xfId="0" applyBorder="1" applyAlignment="1" applyProtection="1">
      <alignment/>
      <protection hidden="1"/>
    </xf>
    <xf numFmtId="0" fontId="0" fillId="0" borderId="8" xfId="0" applyBorder="1" applyAlignment="1" applyProtection="1">
      <alignment/>
      <protection hidden="1"/>
    </xf>
    <xf numFmtId="0" fontId="0" fillId="0" borderId="12" xfId="0" applyFont="1" applyBorder="1" applyAlignment="1" applyProtection="1">
      <alignment/>
      <protection hidden="1"/>
    </xf>
    <xf numFmtId="0" fontId="0" fillId="0" borderId="0" xfId="0" applyFont="1" applyBorder="1" applyAlignment="1" applyProtection="1">
      <alignment horizontal="right"/>
      <protection hidden="1"/>
    </xf>
    <xf numFmtId="0" fontId="0" fillId="0" borderId="12" xfId="0" applyBorder="1" applyAlignment="1" applyProtection="1">
      <alignment/>
      <protection hidden="1"/>
    </xf>
    <xf numFmtId="0" fontId="0" fillId="0" borderId="100" xfId="0" applyBorder="1" applyAlignment="1" applyProtection="1">
      <alignment/>
      <protection hidden="1"/>
    </xf>
    <xf numFmtId="0" fontId="0" fillId="0" borderId="101" xfId="0" applyBorder="1" applyAlignment="1" applyProtection="1">
      <alignment/>
      <protection hidden="1"/>
    </xf>
    <xf numFmtId="0" fontId="0" fillId="0" borderId="102" xfId="0" applyBorder="1" applyAlignment="1" applyProtection="1">
      <alignment/>
      <protection hidden="1"/>
    </xf>
    <xf numFmtId="0" fontId="40" fillId="0" borderId="83" xfId="0" applyFont="1" applyBorder="1" applyAlignment="1" applyProtection="1">
      <alignment/>
      <protection hidden="1" locked="0"/>
    </xf>
    <xf numFmtId="0" fontId="0" fillId="0" borderId="128" xfId="0" applyBorder="1" applyAlignment="1" applyProtection="1">
      <alignment/>
      <protection hidden="1"/>
    </xf>
    <xf numFmtId="0" fontId="0" fillId="0" borderId="129" xfId="0" applyBorder="1" applyAlignment="1" applyProtection="1">
      <alignment/>
      <protection hidden="1"/>
    </xf>
    <xf numFmtId="0" fontId="0" fillId="0" borderId="130" xfId="0" applyBorder="1" applyAlignment="1" applyProtection="1">
      <alignment/>
      <protection hidden="1"/>
    </xf>
    <xf numFmtId="0" fontId="0" fillId="0" borderId="96" xfId="0" applyBorder="1" applyAlignment="1" applyProtection="1">
      <alignment horizontal="center"/>
      <protection hidden="1"/>
    </xf>
    <xf numFmtId="0" fontId="0" fillId="0" borderId="77" xfId="0" applyBorder="1" applyAlignment="1" applyProtection="1">
      <alignment horizontal="center"/>
      <protection hidden="1"/>
    </xf>
    <xf numFmtId="0" fontId="0" fillId="0" borderId="78" xfId="0" applyBorder="1" applyAlignment="1" applyProtection="1">
      <alignment horizontal="center"/>
      <protection hidden="1"/>
    </xf>
    <xf numFmtId="0" fontId="0" fillId="0" borderId="93" xfId="0" applyBorder="1" applyAlignment="1" applyProtection="1">
      <alignment horizontal="center"/>
      <protection hidden="1"/>
    </xf>
    <xf numFmtId="0" fontId="0" fillId="0" borderId="76" xfId="0" applyBorder="1" applyAlignment="1" applyProtection="1">
      <alignment/>
      <protection hidden="1"/>
    </xf>
    <xf numFmtId="0" fontId="0" fillId="0" borderId="76" xfId="0" applyBorder="1" applyAlignment="1" applyProtection="1">
      <alignment horizontal="center"/>
      <protection hidden="1"/>
    </xf>
    <xf numFmtId="0" fontId="0" fillId="0" borderId="94" xfId="0" applyBorder="1" applyAlignment="1" applyProtection="1">
      <alignment horizontal="center"/>
      <protection hidden="1"/>
    </xf>
    <xf numFmtId="0" fontId="0" fillId="0" borderId="80" xfId="0" applyBorder="1" applyAlignment="1" applyProtection="1">
      <alignment horizontal="center"/>
      <protection hidden="1"/>
    </xf>
    <xf numFmtId="0" fontId="0" fillId="0" borderId="95" xfId="0" applyBorder="1" applyAlignment="1" applyProtection="1">
      <alignment/>
      <protection hidden="1"/>
    </xf>
    <xf numFmtId="0" fontId="0" fillId="0" borderId="95" xfId="0" applyBorder="1" applyAlignment="1" applyProtection="1">
      <alignment horizontal="center"/>
      <protection hidden="1"/>
    </xf>
    <xf numFmtId="0" fontId="0" fillId="0" borderId="79" xfId="0" applyBorder="1" applyAlignment="1" applyProtection="1">
      <alignment horizontal="center"/>
      <protection hidden="1"/>
    </xf>
    <xf numFmtId="0" fontId="15" fillId="0" borderId="0" xfId="0" applyFont="1" applyAlignment="1" applyProtection="1">
      <alignment/>
      <protection hidden="1"/>
    </xf>
    <xf numFmtId="0" fontId="2" fillId="0" borderId="7" xfId="0" applyFont="1" applyBorder="1" applyAlignment="1">
      <alignment horizontal="center"/>
    </xf>
    <xf numFmtId="0" fontId="2" fillId="0" borderId="0" xfId="0" applyFont="1" applyBorder="1" applyAlignment="1" applyProtection="1">
      <alignment horizontal="left" vertical="center"/>
      <protection hidden="1"/>
    </xf>
    <xf numFmtId="193" fontId="92" fillId="0" borderId="0" xfId="0" applyNumberFormat="1" applyFont="1" applyBorder="1" applyAlignment="1" applyProtection="1">
      <alignment horizontal="center" vertical="center"/>
      <protection hidden="1"/>
    </xf>
    <xf numFmtId="193" fontId="93" fillId="0" borderId="0" xfId="0" applyNumberFormat="1" applyFont="1" applyBorder="1" applyAlignment="1" applyProtection="1">
      <alignment horizontal="center" vertical="center"/>
      <protection hidden="1"/>
    </xf>
    <xf numFmtId="193" fontId="91" fillId="0" borderId="12" xfId="0" applyNumberFormat="1" applyFont="1" applyBorder="1" applyAlignment="1" applyProtection="1">
      <alignment horizontal="center" vertical="center"/>
      <protection hidden="1"/>
    </xf>
    <xf numFmtId="0" fontId="95" fillId="0" borderId="0" xfId="0" applyFont="1" applyBorder="1" applyAlignment="1" applyProtection="1">
      <alignment/>
      <protection hidden="1"/>
    </xf>
    <xf numFmtId="0" fontId="0" fillId="0" borderId="131" xfId="0" applyBorder="1" applyAlignment="1">
      <alignment horizontal="center"/>
    </xf>
    <xf numFmtId="0" fontId="0" fillId="0" borderId="16" xfId="0" applyBorder="1" applyAlignment="1">
      <alignment/>
    </xf>
    <xf numFmtId="0" fontId="0" fillId="0" borderId="131" xfId="0" applyBorder="1" applyAlignment="1">
      <alignment/>
    </xf>
    <xf numFmtId="188" fontId="8" fillId="0" borderId="42" xfId="0" applyNumberFormat="1" applyFont="1" applyFill="1" applyBorder="1" applyAlignment="1" applyProtection="1">
      <alignment horizontal="right"/>
      <protection locked="0"/>
    </xf>
    <xf numFmtId="188" fontId="8" fillId="0" borderId="44" xfId="0" applyNumberFormat="1" applyFont="1" applyFill="1" applyBorder="1" applyAlignment="1" applyProtection="1">
      <alignment horizontal="right"/>
      <protection locked="0"/>
    </xf>
    <xf numFmtId="188" fontId="8" fillId="0" borderId="45" xfId="0" applyNumberFormat="1" applyFont="1" applyFill="1" applyBorder="1" applyAlignment="1" applyProtection="1">
      <alignment horizontal="right"/>
      <protection locked="0"/>
    </xf>
    <xf numFmtId="188" fontId="2" fillId="0" borderId="116" xfId="0" applyNumberFormat="1" applyFont="1" applyBorder="1" applyAlignment="1" applyProtection="1">
      <alignment horizontal="right"/>
      <protection locked="0"/>
    </xf>
    <xf numFmtId="188" fontId="8" fillId="0" borderId="132" xfId="0" applyNumberFormat="1" applyFont="1" applyFill="1" applyBorder="1" applyAlignment="1" applyProtection="1">
      <alignment horizontal="right"/>
      <protection locked="0"/>
    </xf>
    <xf numFmtId="188" fontId="2" fillId="0" borderId="44" xfId="0" applyNumberFormat="1" applyFont="1" applyFill="1" applyBorder="1" applyAlignment="1" applyProtection="1">
      <alignment horizontal="right"/>
      <protection locked="0"/>
    </xf>
    <xf numFmtId="188" fontId="2" fillId="0" borderId="116" xfId="0" applyNumberFormat="1" applyFont="1" applyFill="1" applyBorder="1" applyAlignment="1" applyProtection="1">
      <alignment horizontal="right"/>
      <protection locked="0"/>
    </xf>
    <xf numFmtId="188" fontId="8" fillId="0" borderId="21" xfId="0" applyNumberFormat="1" applyFont="1" applyFill="1" applyBorder="1" applyAlignment="1" applyProtection="1">
      <alignment horizontal="right"/>
      <protection locked="0"/>
    </xf>
    <xf numFmtId="2" fontId="23" fillId="0" borderId="83" xfId="0" applyNumberFormat="1" applyFont="1" applyFill="1" applyBorder="1" applyAlignment="1" applyProtection="1">
      <alignment horizontal="right"/>
      <protection hidden="1"/>
    </xf>
    <xf numFmtId="190" fontId="18" fillId="0" borderId="85" xfId="0" applyNumberFormat="1" applyFont="1" applyFill="1" applyBorder="1" applyAlignment="1" applyProtection="1">
      <alignment/>
      <protection hidden="1"/>
    </xf>
    <xf numFmtId="190" fontId="18" fillId="0" borderId="0" xfId="0" applyNumberFormat="1" applyFont="1" applyFill="1" applyBorder="1" applyAlignment="1" applyProtection="1">
      <alignment/>
      <protection hidden="1"/>
    </xf>
    <xf numFmtId="190" fontId="18" fillId="0" borderId="101" xfId="0" applyNumberFormat="1" applyFont="1" applyFill="1" applyBorder="1" applyAlignment="1" applyProtection="1">
      <alignment/>
      <protection hidden="1"/>
    </xf>
    <xf numFmtId="0" fontId="2" fillId="0" borderId="125" xfId="0" applyFont="1" applyBorder="1" applyAlignment="1">
      <alignment vertical="top"/>
    </xf>
    <xf numFmtId="193" fontId="91" fillId="0" borderId="16" xfId="0" applyNumberFormat="1" applyFont="1" applyBorder="1" applyAlignment="1" applyProtection="1">
      <alignment horizontal="center" vertical="center"/>
      <protection hidden="1" locked="0"/>
    </xf>
    <xf numFmtId="193" fontId="92" fillId="0" borderId="6" xfId="0" applyNumberFormat="1" applyFont="1" applyBorder="1" applyAlignment="1" applyProtection="1">
      <alignment horizontal="center" vertical="center"/>
      <protection hidden="1" locked="0"/>
    </xf>
    <xf numFmtId="193" fontId="93" fillId="0" borderId="6" xfId="0" applyNumberFormat="1" applyFont="1" applyBorder="1" applyAlignment="1" applyProtection="1">
      <alignment horizontal="center" vertical="center"/>
      <protection hidden="1" locked="0"/>
    </xf>
    <xf numFmtId="0" fontId="2" fillId="0" borderId="6" xfId="0" applyFont="1" applyBorder="1" applyAlignment="1" applyProtection="1">
      <alignment/>
      <protection hidden="1" locked="0"/>
    </xf>
    <xf numFmtId="0" fontId="0" fillId="0" borderId="6" xfId="0" applyBorder="1" applyAlignment="1" applyProtection="1">
      <alignment/>
      <protection hidden="1" locked="0"/>
    </xf>
    <xf numFmtId="193" fontId="94" fillId="0" borderId="6" xfId="0" applyNumberFormat="1" applyFont="1" applyFill="1" applyBorder="1" applyAlignment="1" applyProtection="1">
      <alignment horizontal="right"/>
      <protection hidden="1" locked="0"/>
    </xf>
    <xf numFmtId="2" fontId="94" fillId="0" borderId="14" xfId="0" applyNumberFormat="1" applyFont="1" applyFill="1" applyBorder="1" applyAlignment="1" applyProtection="1">
      <alignment horizontal="left"/>
      <protection hidden="1" locked="0"/>
    </xf>
    <xf numFmtId="0" fontId="0" fillId="0" borderId="0" xfId="0" applyAlignment="1" applyProtection="1">
      <alignment/>
      <protection hidden="1" locked="0"/>
    </xf>
    <xf numFmtId="0" fontId="0" fillId="0" borderId="11" xfId="0" applyBorder="1" applyAlignment="1" applyProtection="1">
      <alignment/>
      <protection hidden="1" locked="0"/>
    </xf>
    <xf numFmtId="0" fontId="22" fillId="0" borderId="11" xfId="0" applyFont="1" applyFill="1" applyBorder="1" applyAlignment="1" applyProtection="1">
      <alignment horizontal="right"/>
      <protection hidden="1" locked="0"/>
    </xf>
    <xf numFmtId="2" fontId="22" fillId="0" borderId="13" xfId="0" applyNumberFormat="1" applyFont="1" applyFill="1" applyBorder="1" applyAlignment="1" applyProtection="1">
      <alignment horizontal="left"/>
      <protection hidden="1" locked="0"/>
    </xf>
    <xf numFmtId="0" fontId="2" fillId="0" borderId="0" xfId="0" applyFont="1" applyBorder="1" applyAlignment="1" applyProtection="1">
      <alignment/>
      <protection hidden="1" locked="0"/>
    </xf>
    <xf numFmtId="0" fontId="0" fillId="0" borderId="0" xfId="0" applyBorder="1" applyAlignment="1" applyProtection="1">
      <alignment/>
      <protection hidden="1" locked="0"/>
    </xf>
    <xf numFmtId="0" fontId="94" fillId="0" borderId="0" xfId="0" applyFont="1" applyFill="1" applyBorder="1" applyAlignment="1" applyProtection="1">
      <alignment horizontal="left"/>
      <protection hidden="1" locked="0"/>
    </xf>
    <xf numFmtId="2" fontId="94" fillId="0" borderId="8" xfId="0" applyNumberFormat="1" applyFont="1" applyFill="1" applyBorder="1" applyAlignment="1" applyProtection="1">
      <alignment horizontal="left"/>
      <protection hidden="1" locked="0"/>
    </xf>
    <xf numFmtId="0" fontId="0" fillId="0" borderId="0" xfId="0" applyFill="1" applyBorder="1" applyAlignment="1">
      <alignment/>
    </xf>
    <xf numFmtId="193" fontId="0" fillId="0" borderId="0" xfId="0" applyNumberFormat="1" applyFill="1" applyBorder="1" applyAlignment="1">
      <alignment/>
    </xf>
    <xf numFmtId="0" fontId="2" fillId="0" borderId="7" xfId="0" applyFont="1" applyBorder="1" applyAlignment="1">
      <alignment horizontal="center"/>
    </xf>
    <xf numFmtId="0" fontId="0" fillId="0" borderId="133" xfId="0" applyBorder="1" applyAlignment="1">
      <alignment horizontal="left" vertical="center" textRotation="180"/>
    </xf>
    <xf numFmtId="0" fontId="0" fillId="0" borderId="134" xfId="0" applyBorder="1" applyAlignment="1">
      <alignment horizontal="left" vertical="center" textRotation="180"/>
    </xf>
    <xf numFmtId="0" fontId="2" fillId="0" borderId="135" xfId="0" applyFont="1" applyBorder="1" applyAlignment="1">
      <alignment horizontal="center"/>
    </xf>
    <xf numFmtId="0" fontId="2" fillId="0" borderId="72" xfId="0" applyFont="1" applyBorder="1" applyAlignment="1">
      <alignment horizontal="center"/>
    </xf>
    <xf numFmtId="0" fontId="2" fillId="0" borderId="136"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0" fillId="0" borderId="137" xfId="0" applyBorder="1" applyAlignment="1">
      <alignment horizontal="left" vertical="center" textRotation="180"/>
    </xf>
    <xf numFmtId="0" fontId="2" fillId="0" borderId="138" xfId="0" applyFont="1" applyBorder="1" applyAlignment="1">
      <alignment horizontal="center"/>
    </xf>
    <xf numFmtId="0" fontId="0" fillId="0" borderId="16" xfId="0" applyFont="1" applyBorder="1" applyAlignment="1" applyProtection="1">
      <alignment horizontal="left"/>
      <protection hidden="1"/>
    </xf>
    <xf numFmtId="0" fontId="0" fillId="0" borderId="14" xfId="0" applyFont="1" applyBorder="1" applyAlignment="1" applyProtection="1">
      <alignment horizontal="left"/>
      <protection hidden="1"/>
    </xf>
    <xf numFmtId="0" fontId="17" fillId="0" borderId="7" xfId="0" applyFont="1" applyBorder="1" applyAlignment="1" applyProtection="1">
      <alignment/>
      <protection hidden="1"/>
    </xf>
    <xf numFmtId="0" fontId="0" fillId="0" borderId="72" xfId="0" applyFont="1" applyBorder="1" applyAlignment="1" applyProtection="1">
      <alignment/>
      <protection hidden="1"/>
    </xf>
    <xf numFmtId="0" fontId="81" fillId="0" borderId="7" xfId="0" applyFont="1" applyBorder="1" applyAlignment="1">
      <alignment horizontal="center" vertical="top"/>
    </xf>
    <xf numFmtId="0" fontId="81" fillId="0" borderId="86" xfId="0" applyFont="1" applyBorder="1" applyAlignment="1">
      <alignment horizontal="center" vertical="top"/>
    </xf>
    <xf numFmtId="0" fontId="81" fillId="0" borderId="72" xfId="0" applyFont="1" applyBorder="1" applyAlignment="1">
      <alignment horizontal="center" vertical="top"/>
    </xf>
    <xf numFmtId="0" fontId="8" fillId="0" borderId="7" xfId="0" applyFont="1" applyBorder="1" applyAlignment="1">
      <alignment horizontal="center" vertical="top"/>
    </xf>
    <xf numFmtId="0" fontId="8" fillId="0" borderId="86" xfId="0" applyFont="1" applyBorder="1" applyAlignment="1">
      <alignment horizontal="center" vertical="top"/>
    </xf>
    <xf numFmtId="0" fontId="8" fillId="0" borderId="72" xfId="0" applyFont="1" applyBorder="1" applyAlignment="1">
      <alignment horizontal="center" vertical="top"/>
    </xf>
    <xf numFmtId="0" fontId="2" fillId="0" borderId="7" xfId="0" applyFont="1" applyBorder="1" applyAlignment="1">
      <alignment horizontal="center" vertical="top"/>
    </xf>
    <xf numFmtId="0" fontId="2" fillId="0" borderId="86" xfId="0" applyFont="1" applyBorder="1" applyAlignment="1">
      <alignment horizontal="center" vertical="top"/>
    </xf>
    <xf numFmtId="0" fontId="2" fillId="0" borderId="72" xfId="0" applyFont="1" applyBorder="1" applyAlignment="1">
      <alignment horizontal="center" vertical="top"/>
    </xf>
    <xf numFmtId="0" fontId="17" fillId="0" borderId="7" xfId="0" applyFont="1" applyBorder="1" applyAlignment="1" applyProtection="1">
      <alignment horizontal="right"/>
      <protection hidden="1"/>
    </xf>
    <xf numFmtId="0" fontId="17" fillId="0" borderId="72" xfId="0" applyFont="1" applyBorder="1" applyAlignment="1" applyProtection="1">
      <alignment horizontal="right"/>
      <protection hidden="1"/>
    </xf>
    <xf numFmtId="0" fontId="0" fillId="0" borderId="76" xfId="0" applyBorder="1" applyAlignment="1">
      <alignment horizontal="center"/>
    </xf>
    <xf numFmtId="0" fontId="0" fillId="6" borderId="7" xfId="0" applyFont="1" applyFill="1" applyBorder="1" applyAlignment="1" applyProtection="1">
      <alignment horizontal="center"/>
      <protection hidden="1" locked="0"/>
    </xf>
    <xf numFmtId="0" fontId="0" fillId="6" borderId="72" xfId="0" applyFont="1" applyFill="1" applyBorder="1" applyAlignment="1" applyProtection="1">
      <alignment horizontal="center"/>
      <protection hidden="1" locked="0"/>
    </xf>
    <xf numFmtId="0" fontId="77" fillId="6" borderId="7" xfId="0" applyFont="1" applyFill="1" applyBorder="1" applyAlignment="1" applyProtection="1">
      <alignment horizontal="center"/>
      <protection hidden="1" locked="0"/>
    </xf>
    <xf numFmtId="0" fontId="77" fillId="6" borderId="86" xfId="0" applyFont="1" applyFill="1" applyBorder="1" applyAlignment="1" applyProtection="1">
      <alignment horizontal="center"/>
      <protection hidden="1" locked="0"/>
    </xf>
    <xf numFmtId="0" fontId="17" fillId="0" borderId="7" xfId="0" applyFont="1" applyBorder="1" applyAlignment="1" applyProtection="1">
      <alignment horizontal="left"/>
      <protection hidden="1"/>
    </xf>
    <xf numFmtId="0" fontId="17" fillId="0" borderId="72" xfId="0" applyFont="1" applyBorder="1" applyAlignment="1" applyProtection="1">
      <alignment horizontal="left"/>
      <protection hidden="1"/>
    </xf>
    <xf numFmtId="0" fontId="17" fillId="5" borderId="139" xfId="0" applyFont="1" applyFill="1" applyBorder="1" applyAlignment="1" applyProtection="1">
      <alignment horizontal="center" vertical="center" wrapText="1" shrinkToFit="1"/>
      <protection hidden="1"/>
    </xf>
    <xf numFmtId="0" fontId="17" fillId="5" borderId="140" xfId="0" applyFont="1" applyFill="1" applyBorder="1" applyAlignment="1" applyProtection="1">
      <alignment horizontal="center" vertical="center" wrapText="1" shrinkToFit="1"/>
      <protection hidden="1"/>
    </xf>
    <xf numFmtId="0" fontId="17" fillId="5" borderId="127" xfId="0" applyFont="1" applyFill="1" applyBorder="1" applyAlignment="1" applyProtection="1">
      <alignment horizontal="center" vertical="center" wrapText="1" shrinkToFit="1"/>
      <protection hidden="1"/>
    </xf>
    <xf numFmtId="0" fontId="17" fillId="5" borderId="141" xfId="0" applyFont="1" applyFill="1" applyBorder="1" applyAlignment="1" applyProtection="1">
      <alignment horizontal="center" vertical="center" wrapText="1" shrinkToFit="1"/>
      <protection hidden="1"/>
    </xf>
    <xf numFmtId="0" fontId="17" fillId="0" borderId="76" xfId="0" applyFont="1" applyBorder="1" applyAlignment="1" applyProtection="1">
      <alignment horizontal="center"/>
      <protection hidden="1"/>
    </xf>
    <xf numFmtId="14" fontId="17" fillId="6" borderId="16" xfId="0" applyNumberFormat="1" applyFont="1" applyFill="1" applyBorder="1" applyAlignment="1" applyProtection="1">
      <alignment horizontal="center"/>
      <protection hidden="1" locked="0"/>
    </xf>
    <xf numFmtId="14" fontId="17" fillId="6" borderId="86" xfId="0" applyNumberFormat="1" applyFont="1" applyFill="1" applyBorder="1" applyAlignment="1" applyProtection="1">
      <alignment horizontal="center"/>
      <protection hidden="1" locked="0"/>
    </xf>
    <xf numFmtId="0" fontId="17" fillId="8" borderId="139" xfId="0" applyFont="1" applyFill="1" applyBorder="1" applyAlignment="1" applyProtection="1">
      <alignment horizontal="center" vertical="center" wrapText="1" shrinkToFit="1"/>
      <protection hidden="1"/>
    </xf>
    <xf numFmtId="0" fontId="17" fillId="8" borderId="140" xfId="0" applyFont="1" applyFill="1" applyBorder="1" applyAlignment="1" applyProtection="1">
      <alignment horizontal="center" vertical="center" wrapText="1" shrinkToFit="1"/>
      <protection hidden="1"/>
    </xf>
    <xf numFmtId="0" fontId="17" fillId="8" borderId="127" xfId="0" applyFont="1" applyFill="1" applyBorder="1" applyAlignment="1" applyProtection="1">
      <alignment horizontal="center" vertical="center" wrapText="1" shrinkToFit="1"/>
      <protection hidden="1"/>
    </xf>
    <xf numFmtId="0" fontId="17" fillId="8" borderId="141" xfId="0" applyFont="1" applyFill="1" applyBorder="1" applyAlignment="1" applyProtection="1">
      <alignment horizontal="center" vertical="center" wrapText="1" shrinkToFit="1"/>
      <protection hidden="1"/>
    </xf>
    <xf numFmtId="0" fontId="17" fillId="8" borderId="142" xfId="0" applyFont="1" applyFill="1" applyBorder="1" applyAlignment="1" applyProtection="1">
      <alignment horizontal="center" vertical="center" wrapText="1" shrinkToFit="1"/>
      <protection hidden="1"/>
    </xf>
    <xf numFmtId="0" fontId="17" fillId="8" borderId="143" xfId="0" applyFont="1" applyFill="1" applyBorder="1" applyAlignment="1" applyProtection="1">
      <alignment horizontal="center" vertical="center" wrapText="1" shrinkToFit="1"/>
      <protection hidden="1"/>
    </xf>
    <xf numFmtId="0" fontId="17" fillId="10" borderId="127" xfId="0" applyFont="1" applyFill="1" applyBorder="1" applyAlignment="1" applyProtection="1">
      <alignment horizontal="center" vertical="center" wrapText="1" shrinkToFit="1"/>
      <protection hidden="1"/>
    </xf>
    <xf numFmtId="0" fontId="17" fillId="10" borderId="141" xfId="0" applyFont="1" applyFill="1" applyBorder="1" applyAlignment="1" applyProtection="1">
      <alignment horizontal="center" vertical="center" wrapText="1" shrinkToFit="1"/>
      <protection hidden="1"/>
    </xf>
    <xf numFmtId="0" fontId="17" fillId="10" borderId="142" xfId="0" applyFont="1" applyFill="1" applyBorder="1" applyAlignment="1" applyProtection="1">
      <alignment horizontal="center" vertical="center" wrapText="1" shrinkToFit="1"/>
      <protection hidden="1"/>
    </xf>
    <xf numFmtId="0" fontId="17" fillId="10" borderId="143" xfId="0" applyFont="1" applyFill="1" applyBorder="1" applyAlignment="1" applyProtection="1">
      <alignment horizontal="center" vertical="center" wrapText="1" shrinkToFit="1"/>
      <protection hidden="1"/>
    </xf>
    <xf numFmtId="188" fontId="2" fillId="0" borderId="0" xfId="0" applyNumberFormat="1" applyFont="1" applyBorder="1" applyAlignment="1" applyProtection="1">
      <alignment horizontal="left" vertical="center"/>
      <protection hidden="1"/>
    </xf>
    <xf numFmtId="0" fontId="89" fillId="0" borderId="73" xfId="0" applyFont="1" applyBorder="1" applyAlignment="1" applyProtection="1">
      <alignment horizontal="center" vertical="center"/>
      <protection hidden="1"/>
    </xf>
    <xf numFmtId="0" fontId="89" fillId="0" borderId="11" xfId="0" applyFont="1" applyBorder="1" applyAlignment="1" applyProtection="1">
      <alignment horizontal="center" vertical="center"/>
      <protection hidden="1"/>
    </xf>
    <xf numFmtId="0" fontId="89" fillId="0" borderId="12" xfId="0" applyFont="1" applyBorder="1" applyAlignment="1" applyProtection="1">
      <alignment horizontal="center" vertical="center"/>
      <protection hidden="1"/>
    </xf>
    <xf numFmtId="0" fontId="89" fillId="0" borderId="0" xfId="0" applyFont="1" applyBorder="1" applyAlignment="1" applyProtection="1">
      <alignment horizontal="center" vertical="center"/>
      <protection hidden="1"/>
    </xf>
    <xf numFmtId="0" fontId="89" fillId="0" borderId="16" xfId="0" applyFont="1" applyBorder="1" applyAlignment="1" applyProtection="1">
      <alignment horizontal="center" vertical="center"/>
      <protection hidden="1"/>
    </xf>
    <xf numFmtId="0" fontId="89" fillId="0" borderId="6" xfId="0" applyFont="1" applyBorder="1" applyAlignment="1" applyProtection="1">
      <alignment horizontal="center" vertical="center"/>
      <protection hidden="1"/>
    </xf>
    <xf numFmtId="0" fontId="73" fillId="0" borderId="76" xfId="0" applyFont="1" applyBorder="1" applyAlignment="1" applyProtection="1">
      <alignment horizontal="center" vertical="center" wrapText="1"/>
      <protection hidden="1"/>
    </xf>
    <xf numFmtId="0" fontId="68" fillId="5" borderId="77" xfId="0" applyFont="1" applyFill="1" applyBorder="1" applyAlignment="1" applyProtection="1">
      <alignment horizontal="center" vertical="center"/>
      <protection hidden="1"/>
    </xf>
    <xf numFmtId="0" fontId="89" fillId="0" borderId="13" xfId="0" applyFont="1" applyBorder="1" applyAlignment="1" applyProtection="1">
      <alignment horizontal="center" vertical="center"/>
      <protection hidden="1"/>
    </xf>
    <xf numFmtId="0" fontId="89" fillId="0" borderId="8" xfId="0" applyFont="1" applyBorder="1" applyAlignment="1" applyProtection="1">
      <alignment horizontal="center" vertical="center"/>
      <protection hidden="1"/>
    </xf>
    <xf numFmtId="0" fontId="89" fillId="0" borderId="14" xfId="0" applyFont="1" applyBorder="1" applyAlignment="1" applyProtection="1">
      <alignment horizontal="center" vertical="center"/>
      <protection hidden="1"/>
    </xf>
    <xf numFmtId="0" fontId="89" fillId="0" borderId="77" xfId="0" applyFont="1" applyBorder="1" applyAlignment="1" applyProtection="1">
      <alignment horizontal="center" vertical="center" textRotation="180" wrapText="1"/>
      <protection hidden="1"/>
    </xf>
    <xf numFmtId="0" fontId="89" fillId="0" borderId="76" xfId="0" applyFont="1" applyBorder="1" applyAlignment="1" applyProtection="1">
      <alignment horizontal="center" vertical="center" textRotation="180" wrapText="1"/>
      <protection hidden="1"/>
    </xf>
    <xf numFmtId="0" fontId="46" fillId="0" borderId="76" xfId="0" applyFont="1" applyBorder="1" applyAlignment="1" applyProtection="1">
      <alignment horizontal="center" vertical="center" wrapText="1"/>
      <protection hidden="1"/>
    </xf>
    <xf numFmtId="0" fontId="85" fillId="0" borderId="76" xfId="0" applyFont="1" applyBorder="1" applyAlignment="1" applyProtection="1">
      <alignment horizontal="center" vertical="center" wrapText="1"/>
      <protection hidden="1"/>
    </xf>
    <xf numFmtId="0" fontId="29" fillId="0" borderId="86" xfId="0" applyNumberFormat="1" applyFont="1" applyBorder="1" applyAlignment="1" applyProtection="1">
      <alignment horizontal="left" vertical="center"/>
      <protection hidden="1"/>
    </xf>
    <xf numFmtId="0" fontId="29" fillId="0" borderId="72" xfId="0" applyNumberFormat="1" applyFont="1" applyBorder="1" applyAlignment="1" applyProtection="1">
      <alignment horizontal="left" vertical="center"/>
      <protection hidden="1"/>
    </xf>
    <xf numFmtId="0" fontId="45" fillId="0" borderId="7" xfId="0" applyFont="1" applyBorder="1" applyAlignment="1" applyProtection="1">
      <alignment horizontal="right"/>
      <protection hidden="1"/>
    </xf>
    <xf numFmtId="0" fontId="45" fillId="0" borderId="86" xfId="0" applyFont="1" applyBorder="1" applyAlignment="1" applyProtection="1">
      <alignment horizontal="right"/>
      <protection hidden="1"/>
    </xf>
    <xf numFmtId="14" fontId="45" fillId="0" borderId="86" xfId="0" applyNumberFormat="1" applyFont="1" applyBorder="1" applyAlignment="1" applyProtection="1">
      <alignment horizontal="left"/>
      <protection hidden="1"/>
    </xf>
    <xf numFmtId="14" fontId="45" fillId="0" borderId="72" xfId="0" applyNumberFormat="1" applyFont="1" applyBorder="1" applyAlignment="1" applyProtection="1">
      <alignment horizontal="left"/>
      <protection hidden="1"/>
    </xf>
    <xf numFmtId="0" fontId="46" fillId="0" borderId="7" xfId="0" applyFont="1" applyBorder="1" applyAlignment="1" applyProtection="1">
      <alignment horizontal="center" vertical="center" wrapText="1"/>
      <protection hidden="1"/>
    </xf>
    <xf numFmtId="0" fontId="46" fillId="0" borderId="86" xfId="0" applyFont="1" applyBorder="1" applyAlignment="1" applyProtection="1">
      <alignment horizontal="center" vertical="center" wrapText="1"/>
      <protection hidden="1"/>
    </xf>
    <xf numFmtId="0" fontId="46" fillId="0" borderId="72" xfId="0" applyFont="1" applyBorder="1" applyAlignment="1" applyProtection="1">
      <alignment horizontal="center" vertical="center" wrapText="1"/>
      <protection hidden="1"/>
    </xf>
    <xf numFmtId="0" fontId="2" fillId="0" borderId="36" xfId="0" applyFont="1" applyBorder="1" applyAlignment="1" applyProtection="1">
      <alignment horizontal="center"/>
      <protection hidden="1"/>
    </xf>
    <xf numFmtId="0" fontId="2" fillId="0" borderId="44" xfId="0" applyFont="1" applyBorder="1" applyAlignment="1" applyProtection="1">
      <alignment horizontal="center"/>
      <protection hidden="1"/>
    </xf>
    <xf numFmtId="0" fontId="1" fillId="0" borderId="73"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2" fillId="0" borderId="12"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8" xfId="0" applyFont="1" applyBorder="1" applyAlignment="1" applyProtection="1">
      <alignment horizontal="left" vertical="top" wrapText="1"/>
      <protection hidden="1"/>
    </xf>
    <xf numFmtId="0" fontId="2" fillId="0" borderId="16" xfId="0" applyFont="1" applyBorder="1" applyAlignment="1" applyProtection="1">
      <alignment horizontal="left" vertical="top" wrapText="1"/>
      <protection hidden="1"/>
    </xf>
    <xf numFmtId="0" fontId="2" fillId="0" borderId="6" xfId="0" applyFont="1" applyBorder="1" applyAlignment="1" applyProtection="1">
      <alignment horizontal="left" vertical="top" wrapText="1"/>
      <protection hidden="1"/>
    </xf>
    <xf numFmtId="0" fontId="2" fillId="0" borderId="14" xfId="0" applyFont="1" applyBorder="1" applyAlignment="1" applyProtection="1">
      <alignment horizontal="left" vertical="top" wrapText="1"/>
      <protection hidden="1"/>
    </xf>
    <xf numFmtId="0" fontId="68" fillId="0" borderId="125" xfId="0" applyFont="1" applyBorder="1" applyAlignment="1" applyProtection="1">
      <alignment horizontal="center" vertical="center" textRotation="90" wrapText="1"/>
      <protection hidden="1"/>
    </xf>
    <xf numFmtId="0" fontId="68" fillId="0" borderId="126" xfId="0" applyFont="1" applyBorder="1" applyAlignment="1" applyProtection="1">
      <alignment horizontal="center" vertical="center" textRotation="90" wrapText="1"/>
      <protection hidden="1"/>
    </xf>
    <xf numFmtId="0" fontId="68" fillId="0" borderId="77" xfId="0" applyFont="1" applyBorder="1" applyAlignment="1" applyProtection="1">
      <alignment horizontal="center" vertical="center" textRotation="90" wrapText="1"/>
      <protection hidden="1"/>
    </xf>
    <xf numFmtId="0" fontId="65" fillId="0" borderId="73" xfId="0" applyFont="1" applyBorder="1" applyAlignment="1" applyProtection="1">
      <alignment horizontal="left" vertical="center" textRotation="90" wrapText="1"/>
      <protection hidden="1"/>
    </xf>
    <xf numFmtId="0" fontId="65" fillId="0" borderId="12" xfId="0" applyFont="1" applyBorder="1" applyAlignment="1" applyProtection="1">
      <alignment horizontal="left" vertical="center" textRotation="90" wrapText="1"/>
      <protection hidden="1"/>
    </xf>
    <xf numFmtId="0" fontId="65" fillId="0" borderId="16" xfId="0" applyFont="1" applyBorder="1" applyAlignment="1" applyProtection="1">
      <alignment horizontal="left" vertical="center" textRotation="90" wrapText="1"/>
      <protection hidden="1"/>
    </xf>
    <xf numFmtId="0" fontId="1" fillId="0" borderId="36" xfId="0" applyFont="1" applyBorder="1" applyAlignment="1" applyProtection="1">
      <alignment horizontal="center"/>
      <protection hidden="1"/>
    </xf>
    <xf numFmtId="0" fontId="1" fillId="0" borderId="144" xfId="0" applyFont="1" applyBorder="1" applyAlignment="1" applyProtection="1">
      <alignment horizontal="center"/>
      <protection hidden="1"/>
    </xf>
    <xf numFmtId="0" fontId="1" fillId="0" borderId="44"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91" xfId="0" applyFont="1" applyBorder="1" applyAlignment="1" applyProtection="1">
      <alignment horizontal="center"/>
      <protection hidden="1"/>
    </xf>
    <xf numFmtId="0" fontId="68" fillId="0" borderId="125" xfId="0" applyFont="1" applyBorder="1" applyAlignment="1" applyProtection="1">
      <alignment horizontal="center" vertical="center" textRotation="90"/>
      <protection hidden="1"/>
    </xf>
    <xf numFmtId="0" fontId="68" fillId="0" borderId="126" xfId="0" applyFont="1" applyBorder="1" applyAlignment="1" applyProtection="1">
      <alignment horizontal="center" vertical="center" textRotation="90"/>
      <protection hidden="1"/>
    </xf>
    <xf numFmtId="0" fontId="68" fillId="0" borderId="77" xfId="0" applyFont="1" applyBorder="1" applyAlignment="1" applyProtection="1">
      <alignment horizontal="center" vertical="center" textRotation="90"/>
      <protection hidden="1"/>
    </xf>
    <xf numFmtId="188" fontId="2" fillId="0" borderId="0" xfId="15" applyNumberFormat="1" applyFont="1" applyBorder="1" applyAlignment="1" applyProtection="1">
      <alignment horizontal="left" vertical="center"/>
      <protection hidden="1"/>
    </xf>
    <xf numFmtId="188" fontId="18" fillId="0" borderId="0" xfId="0" applyNumberFormat="1" applyFont="1" applyBorder="1" applyAlignment="1" applyProtection="1">
      <alignment horizontal="left"/>
      <protection hidden="1"/>
    </xf>
    <xf numFmtId="0" fontId="2" fillId="0" borderId="8" xfId="0" applyFont="1" applyBorder="1" applyAlignment="1" applyProtection="1">
      <alignment horizontal="center"/>
      <protection hidden="1"/>
    </xf>
    <xf numFmtId="0" fontId="2" fillId="0" borderId="90" xfId="0" applyFont="1" applyBorder="1" applyAlignment="1" applyProtection="1">
      <alignment horizontal="center"/>
      <protection hidden="1"/>
    </xf>
    <xf numFmtId="0" fontId="2" fillId="0" borderId="45" xfId="0" applyFont="1" applyBorder="1" applyAlignment="1" applyProtection="1">
      <alignment horizontal="center"/>
      <protection hidden="1"/>
    </xf>
    <xf numFmtId="0" fontId="7" fillId="0" borderId="6" xfId="0" applyFont="1" applyBorder="1" applyAlignment="1" applyProtection="1">
      <alignment horizontal="center"/>
      <protection hidden="1"/>
    </xf>
    <xf numFmtId="0" fontId="7" fillId="0" borderId="14" xfId="0" applyFont="1" applyBorder="1" applyAlignment="1" applyProtection="1">
      <alignment horizontal="center"/>
      <protection hidden="1"/>
    </xf>
    <xf numFmtId="0" fontId="18" fillId="0" borderId="0" xfId="0" applyFont="1" applyBorder="1" applyAlignment="1" applyProtection="1">
      <alignment horizontal="right"/>
      <protection hidden="1"/>
    </xf>
    <xf numFmtId="0" fontId="35" fillId="0" borderId="73" xfId="0" applyFont="1" applyBorder="1" applyAlignment="1" applyProtection="1">
      <alignment horizontal="center" vertical="center" wrapText="1"/>
      <protection hidden="1"/>
    </xf>
    <xf numFmtId="0" fontId="35" fillId="0" borderId="13" xfId="0" applyFont="1" applyBorder="1" applyAlignment="1" applyProtection="1">
      <alignment horizontal="center" vertical="center" wrapText="1"/>
      <protection hidden="1"/>
    </xf>
    <xf numFmtId="0" fontId="35" fillId="0" borderId="16" xfId="0" applyFont="1" applyBorder="1" applyAlignment="1" applyProtection="1">
      <alignment horizontal="center" vertical="center" wrapText="1"/>
      <protection hidden="1"/>
    </xf>
    <xf numFmtId="0" fontId="35" fillId="0" borderId="14" xfId="0" applyFont="1" applyBorder="1" applyAlignment="1" applyProtection="1">
      <alignment horizontal="center" vertical="center" wrapText="1"/>
      <protection hidden="1"/>
    </xf>
    <xf numFmtId="0" fontId="47" fillId="0" borderId="11" xfId="0" applyFont="1" applyBorder="1" applyAlignment="1" applyProtection="1">
      <alignment horizontal="center" vertical="center" wrapText="1"/>
      <protection hidden="1"/>
    </xf>
    <xf numFmtId="0" fontId="47" fillId="0" borderId="13" xfId="0" applyFont="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8" xfId="0" applyFont="1" applyBorder="1" applyAlignment="1" applyProtection="1">
      <alignment horizontal="center" vertical="center" wrapText="1"/>
      <protection hidden="1"/>
    </xf>
    <xf numFmtId="0" fontId="47" fillId="0" borderId="6" xfId="0" applyFont="1" applyBorder="1" applyAlignment="1" applyProtection="1">
      <alignment horizontal="center" vertical="center" wrapText="1"/>
      <protection hidden="1"/>
    </xf>
    <xf numFmtId="0" fontId="47" fillId="0" borderId="14" xfId="0" applyFont="1" applyBorder="1" applyAlignment="1" applyProtection="1">
      <alignment horizontal="center" vertical="center" wrapText="1"/>
      <protection hidden="1"/>
    </xf>
    <xf numFmtId="188" fontId="42" fillId="0" borderId="89" xfId="0" applyNumberFormat="1" applyFont="1" applyBorder="1" applyAlignment="1" applyProtection="1">
      <alignment horizontal="left" vertical="center"/>
      <protection hidden="1"/>
    </xf>
    <xf numFmtId="0" fontId="2" fillId="0" borderId="32" xfId="0" applyFont="1" applyBorder="1" applyAlignment="1" applyProtection="1">
      <alignment horizontal="center"/>
      <protection hidden="1"/>
    </xf>
    <xf numFmtId="0" fontId="2" fillId="0" borderId="42" xfId="0" applyFont="1" applyBorder="1" applyAlignment="1" applyProtection="1">
      <alignment horizontal="center"/>
      <protection hidden="1"/>
    </xf>
    <xf numFmtId="0" fontId="2" fillId="0" borderId="102" xfId="0" applyFont="1" applyBorder="1" applyAlignment="1" applyProtection="1">
      <alignment horizontal="center"/>
      <protection hidden="1"/>
    </xf>
    <xf numFmtId="0" fontId="31" fillId="0" borderId="0" xfId="0" applyFont="1" applyBorder="1" applyAlignment="1" applyProtection="1">
      <alignment horizontal="center"/>
      <protection hidden="1"/>
    </xf>
    <xf numFmtId="0" fontId="30" fillId="0" borderId="7" xfId="0" applyFont="1" applyBorder="1" applyAlignment="1" applyProtection="1">
      <alignment horizontal="center" vertical="center" wrapText="1"/>
      <protection hidden="1"/>
    </xf>
    <xf numFmtId="0" fontId="30" fillId="0" borderId="72" xfId="0" applyFont="1" applyBorder="1" applyAlignment="1" applyProtection="1">
      <alignment horizontal="center" vertical="center" wrapText="1"/>
      <protection hidden="1"/>
    </xf>
    <xf numFmtId="0" fontId="2" fillId="0" borderId="145" xfId="0" applyFont="1" applyBorder="1" applyAlignment="1" applyProtection="1">
      <alignment horizontal="center"/>
      <protection hidden="1"/>
    </xf>
    <xf numFmtId="0" fontId="2" fillId="0" borderId="0" xfId="0" applyFont="1" applyBorder="1" applyAlignment="1" applyProtection="1">
      <alignment horizontal="left" vertical="center" wrapText="1" indent="1"/>
      <protection hidden="1"/>
    </xf>
    <xf numFmtId="0" fontId="2" fillId="0" borderId="8" xfId="0" applyFont="1" applyBorder="1" applyAlignment="1" applyProtection="1">
      <alignment horizontal="left" vertical="center" wrapText="1" indent="1"/>
      <protection hidden="1"/>
    </xf>
    <xf numFmtId="0" fontId="2" fillId="0" borderId="12" xfId="0" applyFont="1" applyBorder="1" applyAlignment="1" applyProtection="1">
      <alignment horizontal="left" vertical="center" wrapText="1" indent="1"/>
      <protection hidden="1"/>
    </xf>
    <xf numFmtId="0" fontId="29" fillId="0" borderId="86" xfId="0" applyFont="1" applyBorder="1" applyAlignment="1" applyProtection="1">
      <alignment horizontal="left" vertical="center"/>
      <protection hidden="1"/>
    </xf>
    <xf numFmtId="0" fontId="29" fillId="0" borderId="72" xfId="0" applyFont="1" applyBorder="1" applyAlignment="1" applyProtection="1">
      <alignment horizontal="left" vertical="center"/>
      <protection hidden="1"/>
    </xf>
    <xf numFmtId="188" fontId="2" fillId="0" borderId="15" xfId="0" applyNumberFormat="1" applyFont="1" applyBorder="1" applyAlignment="1" applyProtection="1">
      <alignment horizontal="center"/>
      <protection hidden="1"/>
    </xf>
    <xf numFmtId="188" fontId="2" fillId="0" borderId="91" xfId="0" applyNumberFormat="1" applyFont="1" applyBorder="1" applyAlignment="1" applyProtection="1">
      <alignment horizontal="center"/>
      <protection hidden="1"/>
    </xf>
    <xf numFmtId="0" fontId="37" fillId="0" borderId="125" xfId="0" applyFont="1" applyBorder="1" applyAlignment="1" applyProtection="1">
      <alignment horizontal="center" vertical="center" textRotation="90" wrapText="1"/>
      <protection hidden="1"/>
    </xf>
    <xf numFmtId="0" fontId="37" fillId="0" borderId="126" xfId="0" applyFont="1" applyBorder="1" applyAlignment="1" applyProtection="1">
      <alignment horizontal="center" vertical="center" textRotation="90" wrapText="1"/>
      <protection hidden="1"/>
    </xf>
    <xf numFmtId="0" fontId="37" fillId="0" borderId="77" xfId="0" applyFont="1" applyBorder="1" applyAlignment="1" applyProtection="1">
      <alignment horizontal="center" vertical="center" textRotation="90" wrapText="1"/>
      <protection hidden="1"/>
    </xf>
    <xf numFmtId="0" fontId="30" fillId="0" borderId="125" xfId="0" applyFont="1" applyBorder="1" applyAlignment="1" applyProtection="1">
      <alignment horizontal="center" vertical="center" textRotation="90" wrapText="1"/>
      <protection hidden="1"/>
    </xf>
    <xf numFmtId="0" fontId="0" fillId="0" borderId="126" xfId="0" applyBorder="1" applyAlignment="1" applyProtection="1">
      <alignment horizontal="center" vertical="center" textRotation="90" wrapText="1"/>
      <protection hidden="1"/>
    </xf>
    <xf numFmtId="0" fontId="0" fillId="0" borderId="77" xfId="0" applyBorder="1" applyAlignment="1" applyProtection="1">
      <alignment horizontal="center" vertical="center" textRotation="90" wrapText="1"/>
      <protection hidden="1"/>
    </xf>
    <xf numFmtId="0" fontId="39" fillId="0" borderId="126" xfId="0" applyFont="1" applyBorder="1" applyAlignment="1" applyProtection="1">
      <alignment horizontal="center" vertical="center" textRotation="90" wrapText="1"/>
      <protection hidden="1"/>
    </xf>
    <xf numFmtId="0" fontId="39" fillId="0" borderId="77" xfId="0" applyFont="1" applyBorder="1" applyAlignment="1" applyProtection="1">
      <alignment horizontal="center" vertical="center" textRotation="90" wrapText="1"/>
      <protection hidden="1"/>
    </xf>
    <xf numFmtId="2" fontId="31" fillId="0" borderId="0" xfId="0" applyNumberFormat="1" applyFont="1" applyBorder="1" applyAlignment="1" applyProtection="1">
      <alignment horizontal="center" vertical="center"/>
      <protection hidden="1"/>
    </xf>
    <xf numFmtId="188" fontId="31" fillId="0" borderId="0" xfId="0" applyNumberFormat="1" applyFont="1" applyBorder="1" applyAlignment="1" applyProtection="1">
      <alignment horizontal="center" vertical="center"/>
      <protection hidden="1"/>
    </xf>
    <xf numFmtId="188" fontId="31" fillId="0" borderId="8" xfId="0" applyNumberFormat="1" applyFont="1" applyBorder="1" applyAlignment="1" applyProtection="1">
      <alignment horizontal="center" vertical="center"/>
      <protection hidden="1"/>
    </xf>
    <xf numFmtId="0" fontId="26" fillId="5" borderId="146" xfId="0" applyFont="1" applyFill="1" applyBorder="1" applyAlignment="1">
      <alignment horizontal="center" vertical="center" textRotation="255"/>
    </xf>
    <xf numFmtId="0" fontId="0" fillId="0" borderId="147" xfId="0" applyBorder="1" applyAlignment="1">
      <alignment horizontal="center" vertical="center" textRotation="255"/>
    </xf>
    <xf numFmtId="0" fontId="0" fillId="0" borderId="148" xfId="0" applyBorder="1" applyAlignment="1">
      <alignment horizontal="center" vertical="center" textRotation="255"/>
    </xf>
    <xf numFmtId="0" fontId="33" fillId="0" borderId="0" xfId="0" applyNumberFormat="1" applyFont="1" applyBorder="1" applyAlignment="1" applyProtection="1">
      <alignment horizontal="left"/>
      <protection hidden="1"/>
    </xf>
    <xf numFmtId="0" fontId="33" fillId="0" borderId="8" xfId="0" applyNumberFormat="1" applyFont="1" applyBorder="1" applyAlignment="1" applyProtection="1">
      <alignment horizontal="left"/>
      <protection hidden="1"/>
    </xf>
    <xf numFmtId="0" fontId="76" fillId="0" borderId="85" xfId="0" applyFont="1" applyBorder="1" applyAlignment="1" applyProtection="1">
      <alignment horizontal="center" vertical="center"/>
      <protection hidden="1"/>
    </xf>
    <xf numFmtId="0" fontId="2" fillId="0" borderId="85" xfId="0" applyFont="1" applyBorder="1" applyAlignment="1" applyProtection="1">
      <alignment horizontal="center" vertical="center"/>
      <protection hidden="1"/>
    </xf>
    <xf numFmtId="0" fontId="2" fillId="0" borderId="145"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10" fontId="40" fillId="0" borderId="86" xfId="19" applyNumberFormat="1" applyFont="1" applyBorder="1" applyAlignment="1" applyProtection="1">
      <alignment horizontal="center" vertical="center"/>
      <protection hidden="1"/>
    </xf>
    <xf numFmtId="0" fontId="47" fillId="0" borderId="13" xfId="0" applyFont="1" applyBorder="1" applyAlignment="1" applyProtection="1">
      <alignment horizontal="right" vertical="center" textRotation="180" wrapText="1"/>
      <protection hidden="1"/>
    </xf>
    <xf numFmtId="0" fontId="47" fillId="0" borderId="8" xfId="0" applyFont="1" applyBorder="1" applyAlignment="1" applyProtection="1">
      <alignment horizontal="right" vertical="center" textRotation="180" wrapText="1"/>
      <protection hidden="1"/>
    </xf>
    <xf numFmtId="0" fontId="47" fillId="0" borderId="14" xfId="0" applyFont="1" applyBorder="1" applyAlignment="1" applyProtection="1">
      <alignment horizontal="right" vertical="center" textRotation="180" wrapText="1"/>
      <protection hidden="1"/>
    </xf>
    <xf numFmtId="0" fontId="34" fillId="0" borderId="15" xfId="0" applyFont="1" applyBorder="1" applyAlignment="1" applyProtection="1">
      <alignment horizontal="right"/>
      <protection hidden="1"/>
    </xf>
    <xf numFmtId="0" fontId="34" fillId="0" borderId="0" xfId="0" applyFont="1" applyBorder="1" applyAlignment="1" applyProtection="1">
      <alignment horizontal="right"/>
      <protection hidden="1"/>
    </xf>
    <xf numFmtId="188" fontId="44" fillId="0" borderId="6" xfId="0" applyNumberFormat="1" applyFont="1" applyBorder="1" applyAlignment="1" applyProtection="1">
      <alignment horizontal="center" wrapText="1"/>
      <protection hidden="1"/>
    </xf>
    <xf numFmtId="188" fontId="44" fillId="0" borderId="6" xfId="0" applyNumberFormat="1" applyFont="1" applyBorder="1" applyAlignment="1" applyProtection="1">
      <alignment horizontal="left" wrapText="1"/>
      <protection hidden="1"/>
    </xf>
    <xf numFmtId="0" fontId="35" fillId="0" borderId="125" xfId="0" applyFont="1" applyBorder="1" applyAlignment="1" applyProtection="1">
      <alignment horizontal="center" vertical="center" textRotation="180" wrapText="1"/>
      <protection hidden="1"/>
    </xf>
    <xf numFmtId="0" fontId="35" fillId="0" borderId="126" xfId="0" applyFont="1" applyBorder="1" applyAlignment="1" applyProtection="1">
      <alignment horizontal="center" vertical="center" textRotation="180" wrapText="1"/>
      <protection hidden="1"/>
    </xf>
    <xf numFmtId="2" fontId="40" fillId="0" borderId="83" xfId="0" applyNumberFormat="1" applyFont="1" applyBorder="1" applyAlignment="1" applyProtection="1">
      <alignment horizontal="center"/>
      <protection hidden="1"/>
    </xf>
    <xf numFmtId="188" fontId="40" fillId="0" borderId="85" xfId="0" applyNumberFormat="1" applyFont="1" applyBorder="1" applyAlignment="1" applyProtection="1">
      <alignment horizontal="center" vertical="top"/>
      <protection hidden="1"/>
    </xf>
    <xf numFmtId="188" fontId="40" fillId="0" borderId="145" xfId="0" applyNumberFormat="1" applyFont="1" applyBorder="1" applyAlignment="1" applyProtection="1">
      <alignment horizontal="center" vertical="top"/>
      <protection hidden="1"/>
    </xf>
    <xf numFmtId="2" fontId="40" fillId="0" borderId="85" xfId="0" applyNumberFormat="1" applyFont="1" applyBorder="1" applyAlignment="1" applyProtection="1">
      <alignment horizontal="center" vertical="top"/>
      <protection hidden="1"/>
    </xf>
    <xf numFmtId="0" fontId="2" fillId="0" borderId="12" xfId="0" applyFont="1" applyBorder="1" applyAlignment="1" applyProtection="1">
      <alignment horizontal="left" vertical="top" wrapText="1" indent="1"/>
      <protection hidden="1"/>
    </xf>
    <xf numFmtId="0" fontId="2" fillId="0" borderId="0" xfId="0" applyFont="1" applyBorder="1" applyAlignment="1" applyProtection="1">
      <alignment horizontal="left" vertical="top" wrapText="1" indent="1"/>
      <protection hidden="1"/>
    </xf>
    <xf numFmtId="0" fontId="2" fillId="0" borderId="8" xfId="0" applyFont="1" applyBorder="1" applyAlignment="1" applyProtection="1">
      <alignment horizontal="left" vertical="top" wrapText="1" indent="1"/>
      <protection hidden="1"/>
    </xf>
    <xf numFmtId="0" fontId="2" fillId="0" borderId="16" xfId="0" applyFont="1" applyBorder="1" applyAlignment="1" applyProtection="1">
      <alignment horizontal="left" vertical="top" wrapText="1" indent="1"/>
      <protection hidden="1"/>
    </xf>
    <xf numFmtId="0" fontId="2" fillId="0" borderId="6" xfId="0" applyFont="1" applyBorder="1" applyAlignment="1" applyProtection="1">
      <alignment horizontal="left" vertical="top" wrapText="1" indent="1"/>
      <protection hidden="1"/>
    </xf>
    <xf numFmtId="0" fontId="2" fillId="0" borderId="14" xfId="0" applyFont="1" applyBorder="1" applyAlignment="1" applyProtection="1">
      <alignment horizontal="left" vertical="top" wrapText="1" indent="1"/>
      <protection hidden="1"/>
    </xf>
    <xf numFmtId="0" fontId="36" fillId="0" borderId="125" xfId="0" applyFont="1" applyBorder="1" applyAlignment="1" applyProtection="1">
      <alignment horizontal="center" vertical="center" textRotation="180" wrapText="1"/>
      <protection hidden="1"/>
    </xf>
    <xf numFmtId="0" fontId="36" fillId="0" borderId="126" xfId="0" applyFont="1" applyBorder="1" applyAlignment="1" applyProtection="1">
      <alignment horizontal="center" vertical="center" textRotation="180" wrapText="1"/>
      <protection hidden="1"/>
    </xf>
    <xf numFmtId="0" fontId="36" fillId="0" borderId="77" xfId="0" applyFont="1" applyBorder="1" applyAlignment="1" applyProtection="1">
      <alignment horizontal="center" vertical="center" textRotation="180" wrapText="1"/>
      <protection hidden="1"/>
    </xf>
    <xf numFmtId="188" fontId="41" fillId="0" borderId="83" xfId="0" applyNumberFormat="1" applyFont="1" applyBorder="1" applyAlignment="1" applyProtection="1">
      <alignment horizontal="center"/>
      <protection hidden="1"/>
    </xf>
    <xf numFmtId="188" fontId="41" fillId="0" borderId="149" xfId="0" applyNumberFormat="1" applyFont="1" applyBorder="1" applyAlignment="1" applyProtection="1">
      <alignment horizontal="center"/>
      <protection hidden="1"/>
    </xf>
    <xf numFmtId="0" fontId="2" fillId="0" borderId="12"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8" xfId="0" applyFont="1" applyBorder="1" applyAlignment="1" applyProtection="1">
      <alignment horizontal="left" vertical="center" wrapText="1"/>
      <protection hidden="1"/>
    </xf>
    <xf numFmtId="0" fontId="2" fillId="0" borderId="12" xfId="0" applyFont="1" applyBorder="1" applyAlignment="1" applyProtection="1">
      <alignment horizontal="left" wrapText="1"/>
      <protection hidden="1"/>
    </xf>
    <xf numFmtId="0" fontId="2" fillId="0" borderId="0" xfId="0" applyFont="1" applyBorder="1" applyAlignment="1" applyProtection="1">
      <alignment horizontal="left" wrapText="1"/>
      <protection hidden="1"/>
    </xf>
    <xf numFmtId="0" fontId="2" fillId="0" borderId="8" xfId="0" applyFont="1" applyBorder="1" applyAlignment="1" applyProtection="1">
      <alignment horizontal="left" wrapText="1"/>
      <protection hidden="1"/>
    </xf>
    <xf numFmtId="188" fontId="2" fillId="0" borderId="90" xfId="0" applyNumberFormat="1" applyFont="1" applyBorder="1" applyAlignment="1" applyProtection="1">
      <alignment horizontal="center"/>
      <protection hidden="1"/>
    </xf>
    <xf numFmtId="188" fontId="2" fillId="0" borderId="45" xfId="0" applyNumberFormat="1" applyFont="1" applyBorder="1" applyAlignment="1" applyProtection="1">
      <alignment horizontal="center"/>
      <protection hidden="1"/>
    </xf>
    <xf numFmtId="0" fontId="47" fillId="0" borderId="125" xfId="0" applyFont="1" applyBorder="1" applyAlignment="1" applyProtection="1">
      <alignment horizontal="center" vertical="center" textRotation="90"/>
      <protection hidden="1"/>
    </xf>
    <xf numFmtId="0" fontId="47" fillId="0" borderId="126" xfId="0" applyFont="1" applyBorder="1" applyAlignment="1" applyProtection="1">
      <alignment horizontal="center" vertical="center" textRotation="90"/>
      <protection hidden="1"/>
    </xf>
    <xf numFmtId="0" fontId="47" fillId="0" borderId="77" xfId="0" applyFont="1" applyBorder="1" applyAlignment="1" applyProtection="1">
      <alignment horizontal="center" vertical="center" textRotation="90"/>
      <protection hidden="1"/>
    </xf>
    <xf numFmtId="0" fontId="67" fillId="0" borderId="73" xfId="0" applyFont="1" applyBorder="1" applyAlignment="1" applyProtection="1">
      <alignment horizontal="center"/>
      <protection hidden="1"/>
    </xf>
    <xf numFmtId="0" fontId="67" fillId="0" borderId="11" xfId="0" applyFont="1" applyBorder="1" applyAlignment="1" applyProtection="1">
      <alignment horizontal="center"/>
      <protection hidden="1"/>
    </xf>
    <xf numFmtId="0" fontId="67" fillId="0" borderId="13" xfId="0" applyFont="1" applyBorder="1" applyAlignment="1" applyProtection="1">
      <alignment horizontal="center"/>
      <protection hidden="1"/>
    </xf>
    <xf numFmtId="0" fontId="1" fillId="0" borderId="150" xfId="0" applyFont="1" applyBorder="1" applyAlignment="1" applyProtection="1">
      <alignment horizontal="center"/>
      <protection hidden="1"/>
    </xf>
    <xf numFmtId="0" fontId="1" fillId="0" borderId="45" xfId="0" applyFont="1" applyBorder="1" applyAlignment="1" applyProtection="1">
      <alignment horizontal="center" vertical="center" textRotation="90"/>
      <protection hidden="1"/>
    </xf>
    <xf numFmtId="0" fontId="1" fillId="0" borderId="91" xfId="0" applyFont="1" applyBorder="1" applyAlignment="1" applyProtection="1">
      <alignment horizontal="center" vertical="center" textRotation="90"/>
      <protection hidden="1"/>
    </xf>
    <xf numFmtId="0" fontId="1" fillId="0" borderId="42" xfId="0" applyFont="1" applyBorder="1" applyAlignment="1" applyProtection="1">
      <alignment horizontal="center" vertical="center" textRotation="90"/>
      <protection hidden="1"/>
    </xf>
  </cellXfs>
  <cellStyles count="6">
    <cellStyle name="Normal" xfId="0"/>
    <cellStyle name="Comma" xfId="15"/>
    <cellStyle name="Comma [0]" xfId="16"/>
    <cellStyle name="Currency" xfId="17"/>
    <cellStyle name="Currency [0]" xfId="18"/>
    <cellStyle name="Percent" xfId="19"/>
  </cellStyles>
  <dxfs count="6">
    <dxf>
      <font>
        <b/>
        <i val="0"/>
      </font>
      <border/>
    </dxf>
    <dxf>
      <font>
        <color rgb="FF008000"/>
      </font>
      <border/>
    </dxf>
    <dxf>
      <font>
        <color rgb="FFFF0000"/>
      </font>
      <border/>
    </dxf>
    <dxf>
      <fill>
        <patternFill>
          <bgColor rgb="FFCCFFCC"/>
        </patternFill>
      </fill>
      <border/>
    </dxf>
    <dxf>
      <fill>
        <patternFill>
          <bgColor rgb="FF99CCFF"/>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'Proc datos brutos'!$L$65</c:f>
              <c:strCache>
                <c:ptCount val="1"/>
                <c:pt idx="0">
                  <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multiLvlStrRef>
              <c:f>'Proc datos brutos'!$J$66:$K$70</c:f>
              <c:multiLvlStrCache/>
            </c:multiLvlStrRef>
          </c:cat>
          <c:val>
            <c:numRef>
              <c:f>'Proc datos brutos'!$L$66:$L$70</c:f>
              <c:numCache/>
            </c:numRef>
          </c:val>
        </c:ser>
        <c:ser>
          <c:idx val="1"/>
          <c:order val="1"/>
          <c:tx>
            <c:strRef>
              <c:f>'Proc datos brutos'!$M$65</c:f>
              <c:strCache>
                <c:ptCount val="1"/>
                <c:pt idx="0">
                  <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multiLvlStrRef>
              <c:f>'Proc datos brutos'!$J$66:$K$70</c:f>
              <c:multiLvlStrCache/>
            </c:multiLvlStrRef>
          </c:cat>
          <c:val>
            <c:numRef>
              <c:f>'Proc datos brutos'!$M$66:$M$70</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05"/>
          <c:y val="0.17"/>
          <c:w val="0.5015"/>
          <c:h val="0.66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575" b="0" i="0" u="none" baseline="0"/>
                </a:pPr>
              </a:p>
            </c:txPr>
            <c:showLegendKey val="0"/>
            <c:showVal val="0"/>
            <c:showBubbleSize val="0"/>
            <c:showCatName val="1"/>
            <c:showSerName val="0"/>
            <c:showLeaderLines val="1"/>
            <c:showPercent val="1"/>
          </c:dLbls>
          <c:cat>
            <c:strRef>
              <c:f>Presentación!$A$59:$A$63</c:f>
              <c:strCache/>
            </c:strRef>
          </c:cat>
          <c:val>
            <c:numRef>
              <c:f>Presentación!$D$59:$D$63</c:f>
              <c:numCache>
                <c:ptCount val="5"/>
                <c:pt idx="0">
                  <c:v>0.29006179445879005</c:v>
                </c:pt>
                <c:pt idx="1">
                  <c:v>0.4840573389643093</c:v>
                </c:pt>
                <c:pt idx="2">
                  <c:v>0.09458027889853865</c:v>
                </c:pt>
                <c:pt idx="3">
                  <c:v>0.08900735359764536</c:v>
                </c:pt>
                <c:pt idx="4">
                  <c:v>0.04229323408071661</c:v>
                </c:pt>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1"/>
          <c:w val="0.7495"/>
          <c:h val="0.9715"/>
        </c:manualLayout>
      </c:layout>
      <c:scatterChart>
        <c:scatterStyle val="lineMarker"/>
        <c:varyColors val="0"/>
        <c:ser>
          <c:idx val="0"/>
          <c:order val="0"/>
          <c:tx>
            <c:strRef>
              <c:f>Presentación!$B$10</c:f>
              <c:strCache>
                <c:ptCount val="1"/>
                <c:pt idx="0">
                  <c:v>Peso (kg)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dPt>
            <c:idx val="0"/>
            <c:spPr>
              <a:ln w="3175">
                <a:noFill/>
              </a:ln>
            </c:spPr>
            <c:marker>
              <c:size val="7"/>
              <c:spPr>
                <a:solidFill>
                  <a:srgbClr val="00FF00"/>
                </a:solidFill>
                <a:ln>
                  <a:solidFill>
                    <a:srgbClr val="00FF00"/>
                  </a:solidFill>
                </a:ln>
              </c:spPr>
            </c:marker>
          </c:dPt>
          <c:xVal>
            <c:numRef>
              <c:f>Presentación!$K$10</c:f>
              <c:numCache>
                <c:ptCount val="1"/>
                <c:pt idx="0">
                  <c:v>2.6647052035905254</c:v>
                </c:pt>
              </c:numCache>
            </c:numRef>
          </c:xVal>
          <c:yVal>
            <c:numRef>
              <c:f>Presentación!$L$10</c:f>
              <c:numCache/>
            </c:numRef>
          </c:yVal>
          <c:smooth val="0"/>
        </c:ser>
        <c:ser>
          <c:idx val="1"/>
          <c:order val="1"/>
          <c:tx>
            <c:strRef>
              <c:f>Presentación!$A$59</c:f>
              <c:strCache>
                <c:ptCount val="1"/>
                <c:pt idx="0">
                  <c:v>Masa Adiposa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xVal>
            <c:numRef>
              <c:f>Presentación!$G$59</c:f>
              <c:numCache>
                <c:ptCount val="1"/>
                <c:pt idx="0">
                  <c:v>0.1325989987149701</c:v>
                </c:pt>
              </c:numCache>
            </c:numRef>
          </c:xVal>
          <c:yVal>
            <c:numRef>
              <c:f>Presentación!$L$59</c:f>
              <c:numCache/>
            </c:numRef>
          </c:yVal>
          <c:smooth val="0"/>
        </c:ser>
        <c:ser>
          <c:idx val="2"/>
          <c:order val="2"/>
          <c:tx>
            <c:strRef>
              <c:f>Presentación!$A$60</c:f>
              <c:strCache>
                <c:ptCount val="1"/>
                <c:pt idx="0">
                  <c:v>Masa Muscular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339966"/>
              </a:solidFill>
              <a:ln>
                <a:solidFill>
                  <a:srgbClr val="339966"/>
                </a:solidFill>
              </a:ln>
            </c:spPr>
          </c:marker>
          <c:xVal>
            <c:numRef>
              <c:f>Presentación!$G$60</c:f>
              <c:numCache>
                <c:ptCount val="1"/>
                <c:pt idx="0">
                  <c:v>3.6140697426993986</c:v>
                </c:pt>
              </c:numCache>
            </c:numRef>
          </c:xVal>
          <c:yVal>
            <c:numRef>
              <c:f>Presentación!$L$60</c:f>
              <c:numCache/>
            </c:numRef>
          </c:yVal>
          <c:smooth val="0"/>
        </c:ser>
        <c:ser>
          <c:idx val="3"/>
          <c:order val="3"/>
          <c:tx>
            <c:strRef>
              <c:f>Presentación!$A$61</c:f>
              <c:strCache>
                <c:ptCount val="1"/>
                <c:pt idx="0">
                  <c:v>Masa Residual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dPt>
            <c:idx val="0"/>
            <c:spPr>
              <a:ln w="3175">
                <a:noFill/>
              </a:ln>
            </c:spPr>
            <c:marker>
              <c:size val="7"/>
              <c:spPr>
                <a:solidFill>
                  <a:srgbClr val="FFCC00"/>
                </a:solidFill>
                <a:ln>
                  <a:solidFill>
                    <a:srgbClr val="FFCC00"/>
                  </a:solidFill>
                </a:ln>
              </c:spPr>
            </c:marker>
          </c:dPt>
          <c:xVal>
            <c:numRef>
              <c:f>Presentación!$G$61</c:f>
              <c:numCache>
                <c:ptCount val="1"/>
                <c:pt idx="0">
                  <c:v>2.542878684500281</c:v>
                </c:pt>
              </c:numCache>
            </c:numRef>
          </c:xVal>
          <c:yVal>
            <c:numRef>
              <c:f>Presentación!$L$61</c:f>
              <c:numCache/>
            </c:numRef>
          </c:yVal>
          <c:smooth val="0"/>
        </c:ser>
        <c:ser>
          <c:idx val="4"/>
          <c:order val="4"/>
          <c:tx>
            <c:strRef>
              <c:f>Presentación!$A$62</c:f>
              <c:strCache>
                <c:ptCount val="1"/>
                <c:pt idx="0">
                  <c:v>Masa Ósea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Presentación!$G$62</c:f>
              <c:numCache>
                <c:ptCount val="1"/>
                <c:pt idx="0">
                  <c:v>0.15676807889610134</c:v>
                </c:pt>
              </c:numCache>
            </c:numRef>
          </c:xVal>
          <c:yVal>
            <c:numRef>
              <c:f>Presentación!$L$62</c:f>
              <c:numCache/>
            </c:numRef>
          </c:yVal>
          <c:smooth val="0"/>
        </c:ser>
        <c:axId val="59020439"/>
        <c:axId val="61421904"/>
      </c:scatterChart>
      <c:valAx>
        <c:axId val="59020439"/>
        <c:scaling>
          <c:orientation val="minMax"/>
          <c:max val="4"/>
          <c:min val="-4"/>
        </c:scaling>
        <c:axPos val="b"/>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800" b="1" i="0" u="none" baseline="0"/>
            </a:pPr>
          </a:p>
        </c:txPr>
        <c:crossAx val="61421904"/>
        <c:crossesAt val="-3"/>
        <c:crossBetween val="midCat"/>
        <c:dispUnits/>
        <c:majorUnit val="1"/>
        <c:minorUnit val="0.25"/>
      </c:valAx>
      <c:valAx>
        <c:axId val="61421904"/>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one"/>
        <c:txPr>
          <a:bodyPr/>
          <a:lstStyle/>
          <a:p>
            <a:pPr>
              <a:defRPr lang="en-US" cap="none" sz="525" b="0" i="0" u="none" baseline="0">
                <a:latin typeface="Arial"/>
                <a:ea typeface="Arial"/>
                <a:cs typeface="Arial"/>
              </a:defRPr>
            </a:pPr>
          </a:p>
        </c:txPr>
        <c:crossAx val="59020439"/>
        <c:crosses val="autoZero"/>
        <c:crossBetween val="midCat"/>
        <c:dispUnits/>
        <c:majorUnit val="1"/>
        <c:minorUnit val="0.25"/>
      </c:valAx>
      <c:spPr>
        <a:solidFill>
          <a:srgbClr val="FFFFFF"/>
        </a:solidFill>
        <a:ln w="3175">
          <a:noFill/>
        </a:ln>
      </c:spPr>
    </c:plotArea>
    <c:legend>
      <c:legendPos val="r"/>
      <c:layout>
        <c:manualLayout>
          <c:xMode val="edge"/>
          <c:yMode val="edge"/>
          <c:x val="0.74025"/>
          <c:y val="0.0775"/>
          <c:w val="0.25975"/>
          <c:h val="0.7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Score-Z Básicos</a:t>
            </a:r>
          </a:p>
        </c:rich>
      </c:tx>
      <c:layout/>
      <c:spPr>
        <a:noFill/>
        <a:ln>
          <a:noFill/>
        </a:ln>
      </c:spPr>
    </c:title>
    <c:plotArea>
      <c:layout>
        <c:manualLayout>
          <c:xMode val="edge"/>
          <c:yMode val="edge"/>
          <c:x val="0.008"/>
          <c:y val="0.18125"/>
          <c:w val="0.6925"/>
          <c:h val="0.71075"/>
        </c:manualLayout>
      </c:layout>
      <c:scatterChart>
        <c:scatterStyle val="lineMarker"/>
        <c:varyColors val="0"/>
        <c:ser>
          <c:idx val="0"/>
          <c:order val="0"/>
          <c:tx>
            <c:strRef>
              <c:f>Presentación!$B$10</c:f>
              <c:strCache>
                <c:ptCount val="1"/>
                <c:pt idx="0">
                  <c:v>Peso (kg)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FF00"/>
              </a:solidFill>
              <a:ln>
                <a:solidFill>
                  <a:srgbClr val="00FF00"/>
                </a:solidFill>
              </a:ln>
            </c:spPr>
          </c:marker>
          <c:xVal>
            <c:numRef>
              <c:f>Presentación!$K$10</c:f>
              <c:numCache>
                <c:ptCount val="1"/>
                <c:pt idx="0">
                  <c:v>2.6647052035905254</c:v>
                </c:pt>
              </c:numCache>
            </c:numRef>
          </c:xVal>
          <c:yVal>
            <c:numRef>
              <c:f>Presentación!$M$10</c:f>
              <c:numCache/>
            </c:numRef>
          </c:yVal>
          <c:smooth val="0"/>
        </c:ser>
        <c:ser>
          <c:idx val="1"/>
          <c:order val="1"/>
          <c:tx>
            <c:strRef>
              <c:f>Presentación!$B$12</c:f>
              <c:strCache>
                <c:ptCount val="1"/>
                <c:pt idx="0">
                  <c:v>Talla sentado (cm)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FF00"/>
              </a:solidFill>
              <a:ln>
                <a:solidFill>
                  <a:srgbClr val="00FF00"/>
                </a:solidFill>
              </a:ln>
            </c:spPr>
          </c:marker>
          <c:xVal>
            <c:numRef>
              <c:f>Presentación!$K$12</c:f>
              <c:numCache>
                <c:ptCount val="1"/>
                <c:pt idx="0">
                  <c:v>-0.4814570748672856</c:v>
                </c:pt>
              </c:numCache>
            </c:numRef>
          </c:xVal>
          <c:yVal>
            <c:numRef>
              <c:f>Presentación!$M$12</c:f>
              <c:numCache/>
            </c:numRef>
          </c:yVal>
          <c:smooth val="0"/>
        </c:ser>
        <c:axId val="15926225"/>
        <c:axId val="9118298"/>
      </c:scatterChart>
      <c:valAx>
        <c:axId val="15926225"/>
        <c:scaling>
          <c:orientation val="minMax"/>
          <c:max val="4"/>
          <c:min val="-4"/>
        </c:scaling>
        <c:axPos val="b"/>
        <c:minorGridlines>
          <c:spPr>
            <a:ln w="3175">
              <a:solidFill>
                <a:srgbClr val="969696"/>
              </a:solidFill>
              <a:prstDash val="sysDot"/>
            </a:ln>
          </c:spPr>
        </c:minorGridlines>
        <c:delete val="0"/>
        <c:numFmt formatCode="0" sourceLinked="0"/>
        <c:majorTickMark val="out"/>
        <c:minorTickMark val="none"/>
        <c:tickLblPos val="nextTo"/>
        <c:spPr>
          <a:ln w="25400">
            <a:solidFill/>
          </a:ln>
        </c:spPr>
        <c:txPr>
          <a:bodyPr/>
          <a:lstStyle/>
          <a:p>
            <a:pPr>
              <a:defRPr lang="en-US" cap="none" sz="800" b="1" i="0" u="none" baseline="0"/>
            </a:pPr>
          </a:p>
        </c:txPr>
        <c:crossAx val="9118298"/>
        <c:crosses val="autoZero"/>
        <c:crossBetween val="midCat"/>
        <c:dispUnits/>
        <c:majorUnit val="1"/>
        <c:minorUnit val="1"/>
      </c:valAx>
      <c:valAx>
        <c:axId val="9118298"/>
        <c:scaling>
          <c:orientation val="minMax"/>
          <c:max val="3"/>
        </c:scaling>
        <c:axPos val="l"/>
        <c:majorGridlines>
          <c:spPr>
            <a:ln w="3175">
              <a:solidFill>
                <a:srgbClr val="969696"/>
              </a:solidFill>
              <a:prstDash val="sysDot"/>
            </a:ln>
          </c:spPr>
        </c:majorGridlines>
        <c:delete val="0"/>
        <c:numFmt formatCode="0" sourceLinked="0"/>
        <c:majorTickMark val="out"/>
        <c:minorTickMark val="none"/>
        <c:tickLblPos val="none"/>
        <c:spPr>
          <a:ln w="25400">
            <a:solidFill/>
          </a:ln>
        </c:spPr>
        <c:txPr>
          <a:bodyPr/>
          <a:lstStyle/>
          <a:p>
            <a:pPr>
              <a:defRPr lang="en-US" cap="none" sz="800" b="0" i="0" u="none" baseline="0"/>
            </a:pPr>
          </a:p>
        </c:txPr>
        <c:crossAx val="15926225"/>
        <c:crosses val="autoZero"/>
        <c:crossBetween val="midCat"/>
        <c:dispUnits/>
        <c:majorUnit val="1"/>
        <c:minorUnit val="0.2"/>
      </c:valAx>
      <c:spPr>
        <a:noFill/>
        <a:ln w="3175">
          <a:solidFill>
            <a:srgbClr val="969696"/>
          </a:solidFill>
          <a:prstDash val="sysDot"/>
        </a:ln>
      </c:spPr>
    </c:plotArea>
    <c:legend>
      <c:legendPos val="r"/>
      <c:layout>
        <c:manualLayout>
          <c:xMode val="edge"/>
          <c:yMode val="edge"/>
          <c:x val="0.699"/>
          <c:y val="0.30775"/>
          <c:w val="0.301"/>
          <c:h val="0.359"/>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Score-Z Diámetros</a:t>
            </a:r>
          </a:p>
        </c:rich>
      </c:tx>
      <c:layout/>
      <c:spPr>
        <a:noFill/>
        <a:ln>
          <a:noFill/>
        </a:ln>
      </c:spPr>
    </c:title>
    <c:plotArea>
      <c:layout>
        <c:manualLayout>
          <c:xMode val="edge"/>
          <c:yMode val="edge"/>
          <c:x val="0"/>
          <c:y val="0.11925"/>
          <c:w val="0.625"/>
          <c:h val="0.8605"/>
        </c:manualLayout>
      </c:layout>
      <c:scatterChart>
        <c:scatterStyle val="lineMarker"/>
        <c:varyColors val="0"/>
        <c:ser>
          <c:idx val="0"/>
          <c:order val="0"/>
          <c:tx>
            <c:strRef>
              <c:f>Presentación!$B$14</c:f>
              <c:strCache>
                <c:ptCount val="1"/>
                <c:pt idx="0">
                  <c:v>Biacromial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3366FF"/>
                </a:solidFill>
              </a:ln>
            </c:spPr>
          </c:marker>
          <c:xVal>
            <c:numRef>
              <c:f>Presentación!$K$14</c:f>
              <c:numCache>
                <c:ptCount val="1"/>
                <c:pt idx="0">
                  <c:v>0.09518007505034214</c:v>
                </c:pt>
              </c:numCache>
            </c:numRef>
          </c:xVal>
          <c:yVal>
            <c:numRef>
              <c:f>Presentación!$M$14</c:f>
              <c:numCache/>
            </c:numRef>
          </c:yVal>
          <c:smooth val="0"/>
        </c:ser>
        <c:ser>
          <c:idx val="1"/>
          <c:order val="1"/>
          <c:tx>
            <c:strRef>
              <c:f>Presentación!$B$15</c:f>
              <c:strCache>
                <c:ptCount val="1"/>
                <c:pt idx="0">
                  <c:v>Tórax Transverso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3366FF"/>
                </a:solidFill>
              </a:ln>
            </c:spPr>
          </c:marker>
          <c:xVal>
            <c:numRef>
              <c:f>Presentación!$K$15</c:f>
              <c:numCache>
                <c:ptCount val="1"/>
                <c:pt idx="0">
                  <c:v>-0.3628674405246575</c:v>
                </c:pt>
              </c:numCache>
            </c:numRef>
          </c:xVal>
          <c:yVal>
            <c:numRef>
              <c:f>Presentación!$M$15</c:f>
              <c:numCache/>
            </c:numRef>
          </c:yVal>
          <c:smooth val="0"/>
        </c:ser>
        <c:ser>
          <c:idx val="2"/>
          <c:order val="2"/>
          <c:tx>
            <c:strRef>
              <c:f>Presentación!$B$16</c:f>
              <c:strCache>
                <c:ptCount val="1"/>
                <c:pt idx="0">
                  <c:v>Tórax Anteroposterior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3366FF"/>
                </a:solidFill>
              </a:ln>
            </c:spPr>
          </c:marker>
          <c:dPt>
            <c:idx val="0"/>
            <c:spPr>
              <a:ln w="3175">
                <a:noFill/>
              </a:ln>
            </c:spPr>
            <c:marker>
              <c:size val="8"/>
              <c:spPr>
                <a:solidFill>
                  <a:srgbClr val="3366FF"/>
                </a:solidFill>
                <a:ln>
                  <a:solidFill>
                    <a:srgbClr val="3366FF"/>
                  </a:solidFill>
                </a:ln>
              </c:spPr>
            </c:marker>
          </c:dPt>
          <c:xVal>
            <c:numRef>
              <c:f>Presentación!$K$16</c:f>
              <c:numCache>
                <c:ptCount val="1"/>
                <c:pt idx="0">
                  <c:v>2.081886843508505</c:v>
                </c:pt>
              </c:numCache>
            </c:numRef>
          </c:xVal>
          <c:yVal>
            <c:numRef>
              <c:f>Presentación!$M$16</c:f>
              <c:numCache/>
            </c:numRef>
          </c:yVal>
          <c:smooth val="0"/>
        </c:ser>
        <c:ser>
          <c:idx val="3"/>
          <c:order val="3"/>
          <c:tx>
            <c:strRef>
              <c:f>Presentación!$B$17</c:f>
              <c:strCache>
                <c:ptCount val="1"/>
                <c:pt idx="0">
                  <c:v>Bi-iliocrestídeo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3366FF"/>
                </a:solidFill>
              </a:ln>
            </c:spPr>
          </c:marker>
          <c:xVal>
            <c:numRef>
              <c:f>Presentación!$K$17</c:f>
              <c:numCache>
                <c:ptCount val="1"/>
                <c:pt idx="0">
                  <c:v>-1.100117674746997</c:v>
                </c:pt>
              </c:numCache>
            </c:numRef>
          </c:xVal>
          <c:yVal>
            <c:numRef>
              <c:f>Presentación!$M$17</c:f>
              <c:numCache/>
            </c:numRef>
          </c:yVal>
          <c:smooth val="0"/>
        </c:ser>
        <c:ser>
          <c:idx val="4"/>
          <c:order val="4"/>
          <c:tx>
            <c:strRef>
              <c:f>Presentación!$B$18</c:f>
              <c:strCache>
                <c:ptCount val="1"/>
                <c:pt idx="0">
                  <c:v>Humeral (biepicondilar)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3366FF"/>
                </a:solidFill>
              </a:ln>
            </c:spPr>
          </c:marker>
          <c:dPt>
            <c:idx val="0"/>
            <c:spPr>
              <a:ln w="3175">
                <a:noFill/>
              </a:ln>
            </c:spPr>
            <c:marker>
              <c:size val="8"/>
              <c:spPr>
                <a:solidFill>
                  <a:srgbClr val="3366FF"/>
                </a:solidFill>
                <a:ln>
                  <a:solidFill>
                    <a:srgbClr val="3366FF"/>
                  </a:solidFill>
                </a:ln>
              </c:spPr>
            </c:marker>
          </c:dPt>
          <c:xVal>
            <c:numRef>
              <c:f>Presentación!$K$18</c:f>
              <c:numCache>
                <c:ptCount val="1"/>
                <c:pt idx="0">
                  <c:v>1.5116027300541317</c:v>
                </c:pt>
              </c:numCache>
            </c:numRef>
          </c:xVal>
          <c:yVal>
            <c:numRef>
              <c:f>Presentación!$M$18</c:f>
              <c:numCache/>
            </c:numRef>
          </c:yVal>
          <c:smooth val="0"/>
        </c:ser>
        <c:ser>
          <c:idx val="5"/>
          <c:order val="5"/>
          <c:tx>
            <c:strRef>
              <c:f>Presentación!$B$19</c:f>
              <c:strCache>
                <c:ptCount val="1"/>
                <c:pt idx="0">
                  <c:v>Femoral (biepicondilar)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3366FF"/>
                </a:solidFill>
              </a:ln>
            </c:spPr>
          </c:marker>
          <c:xVal>
            <c:numRef>
              <c:f>Presentación!$K$19</c:f>
              <c:numCache>
                <c:ptCount val="1"/>
                <c:pt idx="0">
                  <c:v>1.5832418085301152</c:v>
                </c:pt>
              </c:numCache>
            </c:numRef>
          </c:xVal>
          <c:yVal>
            <c:numRef>
              <c:f>Presentación!$M$19</c:f>
              <c:numCache/>
            </c:numRef>
          </c:yVal>
          <c:smooth val="0"/>
        </c:ser>
        <c:axId val="14955819"/>
        <c:axId val="384644"/>
      </c:scatterChart>
      <c:valAx>
        <c:axId val="14955819"/>
        <c:scaling>
          <c:orientation val="minMax"/>
          <c:max val="4"/>
          <c:min val="-4"/>
        </c:scaling>
        <c:axPos val="b"/>
        <c:minorGridlines>
          <c:spPr>
            <a:ln w="3175">
              <a:solidFill>
                <a:srgbClr val="969696"/>
              </a:solidFill>
              <a:prstDash val="sysDot"/>
            </a:ln>
          </c:spPr>
        </c:minorGridlines>
        <c:delete val="0"/>
        <c:numFmt formatCode="0" sourceLinked="0"/>
        <c:majorTickMark val="out"/>
        <c:minorTickMark val="none"/>
        <c:tickLblPos val="nextTo"/>
        <c:spPr>
          <a:ln w="25400">
            <a:solidFill/>
          </a:ln>
        </c:spPr>
        <c:txPr>
          <a:bodyPr/>
          <a:lstStyle/>
          <a:p>
            <a:pPr>
              <a:defRPr lang="en-US" cap="none" sz="875" b="1" i="0" u="none" baseline="0"/>
            </a:pPr>
          </a:p>
        </c:txPr>
        <c:crossAx val="384644"/>
        <c:crosses val="autoZero"/>
        <c:crossBetween val="midCat"/>
        <c:dispUnits/>
        <c:majorUnit val="1"/>
        <c:minorUnit val="1"/>
      </c:valAx>
      <c:valAx>
        <c:axId val="384644"/>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one"/>
        <c:spPr>
          <a:ln w="25400">
            <a:solidFill/>
          </a:ln>
        </c:spPr>
        <c:crossAx val="14955819"/>
        <c:crosses val="autoZero"/>
        <c:crossBetween val="midCat"/>
        <c:dispUnits/>
      </c:valAx>
      <c:spPr>
        <a:noFill/>
        <a:ln>
          <a:noFill/>
        </a:ln>
      </c:spPr>
    </c:plotArea>
    <c:legend>
      <c:legendPos val="r"/>
      <c:layout>
        <c:manualLayout>
          <c:xMode val="edge"/>
          <c:yMode val="edge"/>
          <c:x val="0.625"/>
          <c:y val="0.1815"/>
          <c:w val="0.375"/>
          <c:h val="0.63725"/>
        </c:manualLayout>
      </c:layout>
      <c:overlay val="0"/>
      <c:spPr>
        <a:ln w="3175">
          <a:noFill/>
        </a:ln>
      </c:spPr>
      <c:txPr>
        <a:bodyPr vert="horz" rot="0"/>
        <a:lstStyle/>
        <a:p>
          <a:pPr>
            <a:defRPr lang="en-US" cap="none" sz="850" b="0" i="0" u="none" baseline="0"/>
          </a:pPr>
        </a:p>
      </c:tx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Score-Z Perímetros</a:t>
            </a:r>
          </a:p>
        </c:rich>
      </c:tx>
      <c:layout/>
      <c:spPr>
        <a:noFill/>
        <a:ln>
          <a:noFill/>
        </a:ln>
      </c:spPr>
    </c:title>
    <c:plotArea>
      <c:layout>
        <c:manualLayout>
          <c:xMode val="edge"/>
          <c:yMode val="edge"/>
          <c:x val="0"/>
          <c:y val="0.1345"/>
          <c:w val="0.63225"/>
          <c:h val="0.8525"/>
        </c:manualLayout>
      </c:layout>
      <c:scatterChart>
        <c:scatterStyle val="lineMarker"/>
        <c:varyColors val="0"/>
        <c:ser>
          <c:idx val="0"/>
          <c:order val="0"/>
          <c:tx>
            <c:strRef>
              <c:f>Presentación!$B$21</c:f>
              <c:strCache>
                <c:ptCount val="1"/>
                <c:pt idx="0">
                  <c:v>Cabeza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xVal>
            <c:numRef>
              <c:f>Presentación!$K$21</c:f>
              <c:numCache>
                <c:ptCount val="1"/>
                <c:pt idx="0">
                  <c:v>-1.2476356092501049</c:v>
                </c:pt>
              </c:numCache>
            </c:numRef>
          </c:xVal>
          <c:yVal>
            <c:numRef>
              <c:f>Presentación!$M$21</c:f>
              <c:numCache/>
            </c:numRef>
          </c:yVal>
          <c:smooth val="0"/>
        </c:ser>
        <c:ser>
          <c:idx val="1"/>
          <c:order val="1"/>
          <c:tx>
            <c:strRef>
              <c:f>Presentación!$B$22</c:f>
              <c:strCache>
                <c:ptCount val="1"/>
                <c:pt idx="0">
                  <c:v>Brazo Relajado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xVal>
            <c:numRef>
              <c:f>Presentación!$K$22</c:f>
              <c:numCache>
                <c:ptCount val="1"/>
                <c:pt idx="0">
                  <c:v>4.342421392763963</c:v>
                </c:pt>
              </c:numCache>
            </c:numRef>
          </c:xVal>
          <c:yVal>
            <c:numRef>
              <c:f>Presentación!$M$22</c:f>
              <c:numCache/>
            </c:numRef>
          </c:yVal>
          <c:smooth val="0"/>
        </c:ser>
        <c:ser>
          <c:idx val="2"/>
          <c:order val="2"/>
          <c:tx>
            <c:strRef>
              <c:f>Presentación!$B$23</c:f>
              <c:strCache>
                <c:ptCount val="1"/>
                <c:pt idx="0">
                  <c:v>Brazo Flexionado en Tensión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xVal>
            <c:numRef>
              <c:f>Presentación!$K$23</c:f>
              <c:numCache>
                <c:ptCount val="1"/>
                <c:pt idx="0">
                  <c:v>4.191643669611682</c:v>
                </c:pt>
              </c:numCache>
            </c:numRef>
          </c:xVal>
          <c:yVal>
            <c:numRef>
              <c:f>Presentación!$M$23</c:f>
              <c:numCache/>
            </c:numRef>
          </c:yVal>
          <c:smooth val="0"/>
        </c:ser>
        <c:ser>
          <c:idx val="3"/>
          <c:order val="3"/>
          <c:tx>
            <c:strRef>
              <c:f>Presentación!$B$24</c:f>
              <c:strCache>
                <c:ptCount val="1"/>
                <c:pt idx="0">
                  <c:v>Antebrazo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xVal>
            <c:numRef>
              <c:f>Presentación!$K$24</c:f>
              <c:numCache>
                <c:ptCount val="1"/>
                <c:pt idx="0">
                  <c:v>2.8565202659282396</c:v>
                </c:pt>
              </c:numCache>
            </c:numRef>
          </c:xVal>
          <c:yVal>
            <c:numRef>
              <c:f>Presentación!$M$24</c:f>
              <c:numCache/>
            </c:numRef>
          </c:yVal>
          <c:smooth val="0"/>
        </c:ser>
        <c:ser>
          <c:idx val="4"/>
          <c:order val="4"/>
          <c:tx>
            <c:strRef>
              <c:f>Presentación!$B$25</c:f>
              <c:strCache>
                <c:ptCount val="1"/>
                <c:pt idx="0">
                  <c:v>Tórax Mesoesternal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xVal>
            <c:numRef>
              <c:f>Presentación!$K$25</c:f>
              <c:numCache>
                <c:ptCount val="1"/>
                <c:pt idx="0">
                  <c:v>2.3428448453160167</c:v>
                </c:pt>
              </c:numCache>
            </c:numRef>
          </c:xVal>
          <c:yVal>
            <c:numRef>
              <c:f>Presentación!$M$25</c:f>
              <c:numCache/>
            </c:numRef>
          </c:yVal>
          <c:smooth val="0"/>
        </c:ser>
        <c:ser>
          <c:idx val="5"/>
          <c:order val="5"/>
          <c:tx>
            <c:strRef>
              <c:f>Presentación!$B$26</c:f>
              <c:strCache>
                <c:ptCount val="1"/>
                <c:pt idx="0">
                  <c:v>Cintura (mínima)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xVal>
            <c:numRef>
              <c:f>Presentación!$K$26</c:f>
              <c:numCache>
                <c:ptCount val="1"/>
                <c:pt idx="0">
                  <c:v>2.741287969938732</c:v>
                </c:pt>
              </c:numCache>
            </c:numRef>
          </c:xVal>
          <c:yVal>
            <c:numRef>
              <c:f>Presentación!$M$26</c:f>
              <c:numCache/>
            </c:numRef>
          </c:yVal>
          <c:smooth val="0"/>
        </c:ser>
        <c:ser>
          <c:idx val="6"/>
          <c:order val="6"/>
          <c:tx>
            <c:strRef>
              <c:f>Presentación!$B$27</c:f>
              <c:strCache>
                <c:ptCount val="1"/>
                <c:pt idx="0">
                  <c:v>Caderas (máxima)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xVal>
            <c:numRef>
              <c:f>Presentación!$K$27</c:f>
              <c:numCache>
                <c:ptCount val="1"/>
                <c:pt idx="0">
                  <c:v>1.925856052151426</c:v>
                </c:pt>
              </c:numCache>
            </c:numRef>
          </c:xVal>
          <c:yVal>
            <c:numRef>
              <c:f>Presentación!$M$27</c:f>
              <c:numCache/>
            </c:numRef>
          </c:yVal>
          <c:smooth val="0"/>
        </c:ser>
        <c:ser>
          <c:idx val="7"/>
          <c:order val="7"/>
          <c:tx>
            <c:strRef>
              <c:f>Presentación!$B$28</c:f>
              <c:strCache>
                <c:ptCount val="1"/>
                <c:pt idx="0">
                  <c:v>Muslo (superior)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xVal>
            <c:numRef>
              <c:f>Presentación!$K$28</c:f>
              <c:numCache>
                <c:ptCount val="1"/>
                <c:pt idx="0">
                  <c:v>3.815530136326522</c:v>
                </c:pt>
              </c:numCache>
            </c:numRef>
          </c:xVal>
          <c:yVal>
            <c:numRef>
              <c:f>Presentación!$M$28</c:f>
              <c:numCache/>
            </c:numRef>
          </c:yVal>
          <c:smooth val="0"/>
        </c:ser>
        <c:ser>
          <c:idx val="8"/>
          <c:order val="8"/>
          <c:tx>
            <c:strRef>
              <c:f>Presentación!$B$29</c:f>
              <c:strCache>
                <c:ptCount val="1"/>
                <c:pt idx="0">
                  <c:v>Muslo (medial)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xVal>
            <c:numRef>
              <c:f>Presentación!$K$29</c:f>
              <c:numCache>
                <c:ptCount val="1"/>
                <c:pt idx="0">
                  <c:v>3.9035087719298245</c:v>
                </c:pt>
              </c:numCache>
            </c:numRef>
          </c:xVal>
          <c:yVal>
            <c:numRef>
              <c:f>Presentación!$M$29</c:f>
              <c:numCache/>
            </c:numRef>
          </c:yVal>
          <c:smooth val="0"/>
        </c:ser>
        <c:ser>
          <c:idx val="9"/>
          <c:order val="9"/>
          <c:tx>
            <c:strRef>
              <c:f>Presentación!$B$30</c:f>
              <c:strCache>
                <c:ptCount val="1"/>
                <c:pt idx="0">
                  <c:v>Pantorrilla (máxima)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xVal>
            <c:numRef>
              <c:f>Presentación!$K$30</c:f>
              <c:numCache>
                <c:ptCount val="1"/>
                <c:pt idx="0">
                  <c:v>4.0554902943915225</c:v>
                </c:pt>
              </c:numCache>
            </c:numRef>
          </c:xVal>
          <c:yVal>
            <c:numRef>
              <c:f>Presentación!$M$30</c:f>
              <c:numCache/>
            </c:numRef>
          </c:yVal>
          <c:smooth val="0"/>
        </c:ser>
        <c:axId val="3461797"/>
        <c:axId val="31156174"/>
      </c:scatterChart>
      <c:valAx>
        <c:axId val="3461797"/>
        <c:scaling>
          <c:orientation val="minMax"/>
          <c:max val="4"/>
          <c:min val="-4"/>
        </c:scaling>
        <c:axPos val="b"/>
        <c:majorGridlines>
          <c:spPr>
            <a:ln w="3175">
              <a:solidFill>
                <a:srgbClr val="969696"/>
              </a:solidFill>
              <a:prstDash val="sysDot"/>
            </a:ln>
          </c:spPr>
        </c:majorGridlines>
        <c:delete val="0"/>
        <c:numFmt formatCode="0" sourceLinked="0"/>
        <c:majorTickMark val="out"/>
        <c:minorTickMark val="none"/>
        <c:tickLblPos val="nextTo"/>
        <c:spPr>
          <a:ln w="25400">
            <a:solidFill/>
          </a:ln>
        </c:spPr>
        <c:txPr>
          <a:bodyPr/>
          <a:lstStyle/>
          <a:p>
            <a:pPr>
              <a:defRPr lang="en-US" cap="none" sz="950" b="1" i="0" u="none" baseline="0"/>
            </a:pPr>
          </a:p>
        </c:txPr>
        <c:crossAx val="31156174"/>
        <c:crosses val="autoZero"/>
        <c:crossBetween val="midCat"/>
        <c:dispUnits/>
        <c:majorUnit val="1"/>
        <c:minorUnit val="1"/>
      </c:valAx>
      <c:valAx>
        <c:axId val="31156174"/>
        <c:scaling>
          <c:orientation val="minMax"/>
          <c:max val="11"/>
        </c:scaling>
        <c:axPos val="l"/>
        <c:majorGridlines>
          <c:spPr>
            <a:ln w="3175">
              <a:solidFill>
                <a:srgbClr val="969696"/>
              </a:solidFill>
              <a:prstDash val="sysDot"/>
            </a:ln>
          </c:spPr>
        </c:majorGridlines>
        <c:delete val="0"/>
        <c:numFmt formatCode="General" sourceLinked="1"/>
        <c:majorTickMark val="out"/>
        <c:minorTickMark val="none"/>
        <c:tickLblPos val="none"/>
        <c:spPr>
          <a:ln w="25400">
            <a:solidFill/>
          </a:ln>
        </c:spPr>
        <c:crossAx val="3461797"/>
        <c:crosses val="autoZero"/>
        <c:crossBetween val="midCat"/>
        <c:dispUnits/>
        <c:majorUnit val="1"/>
        <c:minorUnit val="1"/>
      </c:valAx>
      <c:spPr>
        <a:noFill/>
        <a:ln w="3175">
          <a:solidFill>
            <a:srgbClr val="969696"/>
          </a:solidFill>
          <a:prstDash val="sysDot"/>
        </a:ln>
      </c:spPr>
    </c:plotArea>
    <c:legend>
      <c:legendPos val="r"/>
      <c:layout>
        <c:manualLayout>
          <c:xMode val="edge"/>
          <c:yMode val="edge"/>
          <c:x val="0.616"/>
          <c:y val="0.17575"/>
          <c:w val="0.384"/>
          <c:h val="0.71575"/>
        </c:manualLayout>
      </c:layout>
      <c:overlay val="0"/>
      <c:spPr>
        <a:noFill/>
        <a:ln w="3175">
          <a:noFill/>
        </a:ln>
      </c:spPr>
      <c:txPr>
        <a:bodyPr vert="horz" rot="0"/>
        <a:lstStyle/>
        <a:p>
          <a:pPr>
            <a:defRPr lang="en-US" cap="none" sz="875" b="0" i="0" u="none" baseline="0"/>
          </a:pPr>
        </a:p>
      </c:tx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Score-Z Pliegues</a:t>
            </a:r>
          </a:p>
        </c:rich>
      </c:tx>
      <c:layout/>
      <c:spPr>
        <a:noFill/>
        <a:ln>
          <a:noFill/>
        </a:ln>
      </c:spPr>
    </c:title>
    <c:plotArea>
      <c:layout>
        <c:manualLayout>
          <c:xMode val="edge"/>
          <c:yMode val="edge"/>
          <c:x val="0.01675"/>
          <c:y val="0.1575"/>
          <c:w val="0.66925"/>
          <c:h val="0.82425"/>
        </c:manualLayout>
      </c:layout>
      <c:scatterChart>
        <c:scatterStyle val="lineMarker"/>
        <c:varyColors val="0"/>
        <c:ser>
          <c:idx val="0"/>
          <c:order val="0"/>
          <c:tx>
            <c:strRef>
              <c:f>Presentación!$B$32</c:f>
              <c:strCache>
                <c:ptCount val="1"/>
                <c:pt idx="0">
                  <c:v>Tríceps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CC99FF"/>
              </a:solidFill>
              <a:ln>
                <a:solidFill>
                  <a:srgbClr val="CC99FF"/>
                </a:solidFill>
              </a:ln>
            </c:spPr>
          </c:marker>
          <c:xVal>
            <c:numRef>
              <c:f>Presentación!$K$32</c:f>
              <c:numCache>
                <c:ptCount val="1"/>
                <c:pt idx="0">
                  <c:v>1.3634124377907766</c:v>
                </c:pt>
              </c:numCache>
            </c:numRef>
          </c:xVal>
          <c:yVal>
            <c:numRef>
              <c:f>Presentación!$M$32</c:f>
              <c:numCache/>
            </c:numRef>
          </c:yVal>
          <c:smooth val="0"/>
        </c:ser>
        <c:ser>
          <c:idx val="1"/>
          <c:order val="1"/>
          <c:tx>
            <c:strRef>
              <c:f>Presentación!$B$33</c:f>
              <c:strCache>
                <c:ptCount val="1"/>
                <c:pt idx="0">
                  <c:v>Subescapular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CC99FF"/>
              </a:solidFill>
              <a:ln>
                <a:solidFill>
                  <a:srgbClr val="CC99FF"/>
                </a:solidFill>
              </a:ln>
            </c:spPr>
          </c:marker>
          <c:xVal>
            <c:numRef>
              <c:f>Presentación!$K$33</c:f>
              <c:numCache>
                <c:ptCount val="1"/>
                <c:pt idx="0">
                  <c:v>-1.1805724795206478</c:v>
                </c:pt>
              </c:numCache>
            </c:numRef>
          </c:xVal>
          <c:yVal>
            <c:numRef>
              <c:f>Presentación!$M$33</c:f>
              <c:numCache/>
            </c:numRef>
          </c:yVal>
          <c:smooth val="0"/>
        </c:ser>
        <c:ser>
          <c:idx val="2"/>
          <c:order val="2"/>
          <c:tx>
            <c:strRef>
              <c:f>Presentación!$B$34</c:f>
              <c:strCache>
                <c:ptCount val="1"/>
                <c:pt idx="0">
                  <c:v>Supraespinal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CC99FF"/>
              </a:solidFill>
              <a:ln>
                <a:solidFill>
                  <a:srgbClr val="CC99FF"/>
                </a:solidFill>
              </a:ln>
            </c:spPr>
          </c:marker>
          <c:xVal>
            <c:numRef>
              <c:f>Presentación!$K$34</c:f>
              <c:numCache>
                <c:ptCount val="1"/>
                <c:pt idx="0">
                  <c:v>-0.10007530832801967</c:v>
                </c:pt>
              </c:numCache>
            </c:numRef>
          </c:xVal>
          <c:yVal>
            <c:numRef>
              <c:f>Presentación!$M$34</c:f>
              <c:numCache/>
            </c:numRef>
          </c:yVal>
          <c:smooth val="0"/>
        </c:ser>
        <c:ser>
          <c:idx val="3"/>
          <c:order val="3"/>
          <c:tx>
            <c:strRef>
              <c:f>Presentación!$B$35</c:f>
              <c:strCache>
                <c:ptCount val="1"/>
                <c:pt idx="0">
                  <c:v>Abdominal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CC99FF"/>
              </a:solidFill>
              <a:ln>
                <a:solidFill>
                  <a:srgbClr val="CC99FF"/>
                </a:solidFill>
              </a:ln>
            </c:spPr>
          </c:marker>
          <c:xVal>
            <c:numRef>
              <c:f>Presentación!$K$35</c:f>
              <c:numCache>
                <c:ptCount val="1"/>
                <c:pt idx="0">
                  <c:v>-0.20169572637989455</c:v>
                </c:pt>
              </c:numCache>
            </c:numRef>
          </c:xVal>
          <c:yVal>
            <c:numRef>
              <c:f>Presentación!$M$35</c:f>
              <c:numCache/>
            </c:numRef>
          </c:yVal>
          <c:smooth val="0"/>
        </c:ser>
        <c:ser>
          <c:idx val="4"/>
          <c:order val="4"/>
          <c:tx>
            <c:strRef>
              <c:f>Presentación!$B$36</c:f>
              <c:strCache>
                <c:ptCount val="1"/>
                <c:pt idx="0">
                  <c:v>Muslo (medial)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CC99FF"/>
              </a:solidFill>
              <a:ln>
                <a:solidFill>
                  <a:srgbClr val="CC99FF"/>
                </a:solidFill>
              </a:ln>
            </c:spPr>
          </c:marker>
          <c:xVal>
            <c:numRef>
              <c:f>Presentación!$K$36</c:f>
              <c:numCache>
                <c:ptCount val="1"/>
                <c:pt idx="0">
                  <c:v>0.3487787207139862</c:v>
                </c:pt>
              </c:numCache>
            </c:numRef>
          </c:xVal>
          <c:yVal>
            <c:numRef>
              <c:f>Presentación!$M$36</c:f>
              <c:numCache/>
            </c:numRef>
          </c:yVal>
          <c:smooth val="0"/>
        </c:ser>
        <c:ser>
          <c:idx val="5"/>
          <c:order val="5"/>
          <c:tx>
            <c:strRef>
              <c:f>Presentación!$B$37</c:f>
              <c:strCache>
                <c:ptCount val="1"/>
                <c:pt idx="0">
                  <c:v>Pantorrilla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CC99FF"/>
              </a:solidFill>
              <a:ln>
                <a:solidFill>
                  <a:srgbClr val="CC99FF"/>
                </a:solidFill>
              </a:ln>
            </c:spPr>
          </c:marker>
          <c:xVal>
            <c:numRef>
              <c:f>Presentación!$K$37</c:f>
              <c:numCache>
                <c:ptCount val="1"/>
                <c:pt idx="0">
                  <c:v>0.7763106371419803</c:v>
                </c:pt>
              </c:numCache>
            </c:numRef>
          </c:xVal>
          <c:yVal>
            <c:numRef>
              <c:f>Presentación!$M$37</c:f>
              <c:numCache/>
            </c:numRef>
          </c:yVal>
          <c:smooth val="0"/>
        </c:ser>
        <c:axId val="11970111"/>
        <c:axId val="40622136"/>
      </c:scatterChart>
      <c:valAx>
        <c:axId val="11970111"/>
        <c:scaling>
          <c:orientation val="minMax"/>
          <c:max val="4"/>
          <c:min val="-4"/>
        </c:scaling>
        <c:axPos val="b"/>
        <c:minorGridlines>
          <c:spPr>
            <a:ln w="3175">
              <a:solidFill>
                <a:srgbClr val="969696"/>
              </a:solidFill>
              <a:prstDash val="sysDot"/>
            </a:ln>
          </c:spPr>
        </c:minorGridlines>
        <c:delete val="0"/>
        <c:numFmt formatCode="0" sourceLinked="0"/>
        <c:majorTickMark val="out"/>
        <c:minorTickMark val="none"/>
        <c:tickLblPos val="nextTo"/>
        <c:spPr>
          <a:ln w="25400">
            <a:solidFill/>
          </a:ln>
        </c:spPr>
        <c:txPr>
          <a:bodyPr/>
          <a:lstStyle/>
          <a:p>
            <a:pPr>
              <a:defRPr lang="en-US" cap="none" sz="900" b="1" i="0" u="none" baseline="0"/>
            </a:pPr>
          </a:p>
        </c:txPr>
        <c:crossAx val="40622136"/>
        <c:crosses val="autoZero"/>
        <c:crossBetween val="midCat"/>
        <c:dispUnits/>
        <c:majorUnit val="1"/>
        <c:minorUnit val="1"/>
      </c:valAx>
      <c:valAx>
        <c:axId val="40622136"/>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one"/>
        <c:spPr>
          <a:ln w="25400">
            <a:solidFill/>
          </a:ln>
        </c:spPr>
        <c:crossAx val="11970111"/>
        <c:crosses val="autoZero"/>
        <c:crossBetween val="midCat"/>
        <c:dispUnits/>
        <c:majorUnit val="1"/>
        <c:minorUnit val="1"/>
      </c:valAx>
      <c:spPr>
        <a:noFill/>
        <a:ln w="3175">
          <a:solidFill>
            <a:srgbClr val="969696"/>
          </a:solidFill>
          <a:prstDash val="sysDot"/>
        </a:ln>
      </c:spPr>
    </c:plotArea>
    <c:legend>
      <c:legendPos val="r"/>
      <c:layout>
        <c:manualLayout>
          <c:xMode val="edge"/>
          <c:yMode val="edge"/>
          <c:x val="0.68575"/>
          <c:y val="0.23225"/>
          <c:w val="0.31425"/>
          <c:h val="0.6225"/>
        </c:manualLayout>
      </c:layout>
      <c:overlay val="0"/>
      <c:spPr>
        <a:ln w="3175">
          <a:noFill/>
        </a:ln>
      </c:spPr>
      <c:txPr>
        <a:bodyPr vert="horz" rot="0"/>
        <a:lstStyle/>
        <a:p>
          <a:pPr>
            <a:defRPr lang="en-US" cap="none" sz="875" b="0" i="0" u="none" baseline="0"/>
          </a:pPr>
        </a:p>
      </c:tx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03"/>
          <c:w val="0.9715"/>
          <c:h val="0.997"/>
        </c:manualLayout>
      </c:layout>
      <c:scatterChart>
        <c:scatterStyle val="lineMarker"/>
        <c:varyColors val="0"/>
        <c:ser>
          <c:idx val="0"/>
          <c:order val="0"/>
          <c:tx>
            <c:strRef>
              <c:f>Presentación!$J$226</c:f>
              <c:strCache>
                <c:ptCount val="1"/>
                <c:pt idx="0">
                  <c:v>X (ecto-endo):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noFill/>
              </a:ln>
            </c:spPr>
          </c:marker>
          <c:xVal>
            <c:numRef>
              <c:f>Presentación!$K$226</c:f>
              <c:numCache>
                <c:ptCount val="1"/>
                <c:pt idx="0">
                  <c:v>-4.685687518004688</c:v>
                </c:pt>
              </c:numCache>
            </c:numRef>
          </c:xVal>
          <c:yVal>
            <c:numRef>
              <c:f>Presentación!$K$227</c:f>
              <c:numCache>
                <c:ptCount val="1"/>
                <c:pt idx="0">
                  <c:v>12.10674842391386</c:v>
                </c:pt>
              </c:numCache>
            </c:numRef>
          </c:yVal>
          <c:smooth val="0"/>
        </c:ser>
        <c:ser>
          <c:idx val="1"/>
          <c:order val="1"/>
          <c:tx>
            <c:strRef>
              <c:f>Presentación!$H$229</c:f>
              <c:strCache>
                <c:ptCount val="1"/>
                <c:pt idx="0">
                  <c:v>Rugby Super 12 front forwards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0000"/>
              </a:solidFill>
              <a:ln>
                <a:noFill/>
              </a:ln>
            </c:spPr>
          </c:marker>
          <c:dLbls>
            <c:numFmt formatCode="General" sourceLinked="1"/>
            <c:showLegendKey val="0"/>
            <c:showVal val="0"/>
            <c:showBubbleSize val="0"/>
            <c:showCatName val="0"/>
            <c:showSerName val="0"/>
            <c:showPercent val="0"/>
          </c:dLbls>
          <c:xVal>
            <c:numRef>
              <c:f>Presentación!$K$231</c:f>
              <c:numCache>
                <c:ptCount val="1"/>
                <c:pt idx="0">
                  <c:v>-3.9000000000000004</c:v>
                </c:pt>
              </c:numCache>
            </c:numRef>
          </c:xVal>
          <c:yVal>
            <c:numRef>
              <c:f>Presentación!$K$232</c:f>
              <c:numCache>
                <c:ptCount val="1"/>
                <c:pt idx="0">
                  <c:v>14.3</c:v>
                </c:pt>
              </c:numCache>
            </c:numRef>
          </c:yVal>
          <c:smooth val="0"/>
        </c:ser>
        <c:ser>
          <c:idx val="2"/>
          <c:order val="2"/>
          <c:tx>
            <c:strRef>
              <c:f>Presentación!$J$226</c:f>
              <c:strCache>
                <c:ptCount val="1"/>
                <c:pt idx="0">
                  <c:v>X (ecto-endo):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FF00"/>
              </a:solidFill>
              <a:ln>
                <a:solidFill>
                  <a:srgbClr val="00FF00"/>
                </a:solidFill>
              </a:ln>
            </c:spPr>
          </c:marker>
          <c:xVal>
            <c:numRef>
              <c:f>Presentación!$J$228</c:f>
              <c:numCache/>
            </c:numRef>
          </c:xVal>
          <c:yVal>
            <c:numRef>
              <c:f>Presentación!$K$228</c:f>
              <c:numCache/>
            </c:numRef>
          </c:yVal>
          <c:smooth val="0"/>
        </c:ser>
        <c:axId val="30054905"/>
        <c:axId val="2058690"/>
      </c:scatterChart>
      <c:valAx>
        <c:axId val="30054905"/>
        <c:scaling>
          <c:orientation val="minMax"/>
          <c:max val="9"/>
          <c:min val="-9"/>
        </c:scaling>
        <c:axPos val="b"/>
        <c:delete val="0"/>
        <c:numFmt formatCode="0" sourceLinked="0"/>
        <c:majorTickMark val="out"/>
        <c:minorTickMark val="out"/>
        <c:tickLblPos val="none"/>
        <c:spPr>
          <a:ln w="3175">
            <a:noFill/>
          </a:ln>
        </c:spPr>
        <c:txPr>
          <a:bodyPr/>
          <a:lstStyle/>
          <a:p>
            <a:pPr>
              <a:defRPr lang="en-US" cap="none" sz="800" b="0" i="0" u="none" baseline="0">
                <a:latin typeface="Arial"/>
                <a:ea typeface="Arial"/>
                <a:cs typeface="Arial"/>
              </a:defRPr>
            </a:pPr>
          </a:p>
        </c:txPr>
        <c:crossAx val="2058690"/>
        <c:crosses val="autoZero"/>
        <c:crossBetween val="midCat"/>
        <c:dispUnits/>
        <c:majorUnit val="1"/>
        <c:minorUnit val="1"/>
      </c:valAx>
      <c:valAx>
        <c:axId val="2058690"/>
        <c:scaling>
          <c:orientation val="minMax"/>
          <c:max val="16"/>
          <c:min val="-10"/>
        </c:scaling>
        <c:axPos val="l"/>
        <c:delete val="0"/>
        <c:numFmt formatCode="0" sourceLinked="0"/>
        <c:majorTickMark val="out"/>
        <c:minorTickMark val="in"/>
        <c:tickLblPos val="none"/>
        <c:spPr>
          <a:ln w="3175">
            <a:noFill/>
          </a:ln>
        </c:spPr>
        <c:txPr>
          <a:bodyPr/>
          <a:lstStyle/>
          <a:p>
            <a:pPr>
              <a:defRPr lang="en-US" cap="none" sz="800" b="0" i="0" u="none" baseline="0">
                <a:latin typeface="Arial"/>
                <a:ea typeface="Arial"/>
                <a:cs typeface="Arial"/>
              </a:defRPr>
            </a:pPr>
          </a:p>
        </c:txPr>
        <c:crossAx val="30054905"/>
        <c:crosses val="autoZero"/>
        <c:crossBetween val="midCat"/>
        <c:dispUnits/>
        <c:majorUnit val="2"/>
        <c:minorUnit val="1"/>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image" Target="../media/image1.jpeg"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62</xdr:row>
      <xdr:rowOff>161925</xdr:rowOff>
    </xdr:from>
    <xdr:to>
      <xdr:col>19</xdr:col>
      <xdr:colOff>9525</xdr:colOff>
      <xdr:row>76</xdr:row>
      <xdr:rowOff>104775</xdr:rowOff>
    </xdr:to>
    <xdr:graphicFrame>
      <xdr:nvGraphicFramePr>
        <xdr:cNvPr id="1" name="Chart 5"/>
        <xdr:cNvGraphicFramePr/>
      </xdr:nvGraphicFramePr>
      <xdr:xfrm>
        <a:off x="10439400" y="10429875"/>
        <a:ext cx="4657725" cy="2581275"/>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12</xdr:row>
      <xdr:rowOff>85725</xdr:rowOff>
    </xdr:from>
    <xdr:to>
      <xdr:col>11</xdr:col>
      <xdr:colOff>9525</xdr:colOff>
      <xdr:row>15</xdr:row>
      <xdr:rowOff>47625</xdr:rowOff>
    </xdr:to>
    <xdr:sp>
      <xdr:nvSpPr>
        <xdr:cNvPr id="2" name="Line 80"/>
        <xdr:cNvSpPr>
          <a:spLocks/>
        </xdr:cNvSpPr>
      </xdr:nvSpPr>
      <xdr:spPr>
        <a:xfrm>
          <a:off x="8420100" y="2105025"/>
          <a:ext cx="0" cy="4667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28575</xdr:rowOff>
    </xdr:from>
    <xdr:to>
      <xdr:col>4</xdr:col>
      <xdr:colOff>523875</xdr:colOff>
      <xdr:row>56</xdr:row>
      <xdr:rowOff>314325</xdr:rowOff>
    </xdr:to>
    <xdr:graphicFrame>
      <xdr:nvGraphicFramePr>
        <xdr:cNvPr id="1" name="Chart 5"/>
        <xdr:cNvGraphicFramePr/>
      </xdr:nvGraphicFramePr>
      <xdr:xfrm>
        <a:off x="19050" y="11372850"/>
        <a:ext cx="3133725" cy="2409825"/>
      </xdr:xfrm>
      <a:graphic>
        <a:graphicData uri="http://schemas.openxmlformats.org/drawingml/2006/chart">
          <c:chart xmlns:c="http://schemas.openxmlformats.org/drawingml/2006/chart" r:id="rId1"/>
        </a:graphicData>
      </a:graphic>
    </xdr:graphicFrame>
    <xdr:clientData/>
  </xdr:twoCellAnchor>
  <xdr:twoCellAnchor>
    <xdr:from>
      <xdr:col>4</xdr:col>
      <xdr:colOff>447675</xdr:colOff>
      <xdr:row>43</xdr:row>
      <xdr:rowOff>47625</xdr:rowOff>
    </xdr:from>
    <xdr:to>
      <xdr:col>10</xdr:col>
      <xdr:colOff>323850</xdr:colOff>
      <xdr:row>56</xdr:row>
      <xdr:rowOff>219075</xdr:rowOff>
    </xdr:to>
    <xdr:graphicFrame>
      <xdr:nvGraphicFramePr>
        <xdr:cNvPr id="2" name="Chart 11"/>
        <xdr:cNvGraphicFramePr/>
      </xdr:nvGraphicFramePr>
      <xdr:xfrm>
        <a:off x="3076575" y="11391900"/>
        <a:ext cx="2981325" cy="22955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103</xdr:row>
      <xdr:rowOff>38100</xdr:rowOff>
    </xdr:from>
    <xdr:to>
      <xdr:col>4</xdr:col>
      <xdr:colOff>514350</xdr:colOff>
      <xdr:row>112</xdr:row>
      <xdr:rowOff>85725</xdr:rowOff>
    </xdr:to>
    <xdr:graphicFrame>
      <xdr:nvGraphicFramePr>
        <xdr:cNvPr id="3" name="Chart 50"/>
        <xdr:cNvGraphicFramePr/>
      </xdr:nvGraphicFramePr>
      <xdr:xfrm>
        <a:off x="19050" y="22840950"/>
        <a:ext cx="3124200" cy="1571625"/>
      </xdr:xfrm>
      <a:graphic>
        <a:graphicData uri="http://schemas.openxmlformats.org/drawingml/2006/chart">
          <c:chart xmlns:c="http://schemas.openxmlformats.org/drawingml/2006/chart" r:id="rId3"/>
        </a:graphicData>
      </a:graphic>
    </xdr:graphicFrame>
    <xdr:clientData/>
  </xdr:twoCellAnchor>
  <xdr:twoCellAnchor>
    <xdr:from>
      <xdr:col>4</xdr:col>
      <xdr:colOff>533400</xdr:colOff>
      <xdr:row>103</xdr:row>
      <xdr:rowOff>9525</xdr:rowOff>
    </xdr:from>
    <xdr:to>
      <xdr:col>10</xdr:col>
      <xdr:colOff>638175</xdr:colOff>
      <xdr:row>117</xdr:row>
      <xdr:rowOff>19050</xdr:rowOff>
    </xdr:to>
    <xdr:graphicFrame>
      <xdr:nvGraphicFramePr>
        <xdr:cNvPr id="4" name="Chart 51"/>
        <xdr:cNvGraphicFramePr/>
      </xdr:nvGraphicFramePr>
      <xdr:xfrm>
        <a:off x="3162300" y="22812375"/>
        <a:ext cx="3209925" cy="2343150"/>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112</xdr:row>
      <xdr:rowOff>66675</xdr:rowOff>
    </xdr:from>
    <xdr:to>
      <xdr:col>4</xdr:col>
      <xdr:colOff>561975</xdr:colOff>
      <xdr:row>135</xdr:row>
      <xdr:rowOff>114300</xdr:rowOff>
    </xdr:to>
    <xdr:graphicFrame>
      <xdr:nvGraphicFramePr>
        <xdr:cNvPr id="5" name="Chart 52"/>
        <xdr:cNvGraphicFramePr/>
      </xdr:nvGraphicFramePr>
      <xdr:xfrm>
        <a:off x="28575" y="24393525"/>
        <a:ext cx="3162300" cy="3771900"/>
      </xdr:xfrm>
      <a:graphic>
        <a:graphicData uri="http://schemas.openxmlformats.org/drawingml/2006/chart">
          <c:chart xmlns:c="http://schemas.openxmlformats.org/drawingml/2006/chart" r:id="rId5"/>
        </a:graphicData>
      </a:graphic>
    </xdr:graphicFrame>
    <xdr:clientData/>
  </xdr:twoCellAnchor>
  <xdr:twoCellAnchor>
    <xdr:from>
      <xdr:col>4</xdr:col>
      <xdr:colOff>533400</xdr:colOff>
      <xdr:row>116</xdr:row>
      <xdr:rowOff>152400</xdr:rowOff>
    </xdr:from>
    <xdr:to>
      <xdr:col>10</xdr:col>
      <xdr:colOff>666750</xdr:colOff>
      <xdr:row>135</xdr:row>
      <xdr:rowOff>114300</xdr:rowOff>
    </xdr:to>
    <xdr:graphicFrame>
      <xdr:nvGraphicFramePr>
        <xdr:cNvPr id="6" name="Chart 53"/>
        <xdr:cNvGraphicFramePr/>
      </xdr:nvGraphicFramePr>
      <xdr:xfrm>
        <a:off x="3162300" y="25126950"/>
        <a:ext cx="3238500" cy="3038475"/>
      </xdr:xfrm>
      <a:graphic>
        <a:graphicData uri="http://schemas.openxmlformats.org/drawingml/2006/chart">
          <c:chart xmlns:c="http://schemas.openxmlformats.org/drawingml/2006/chart" r:id="rId6"/>
        </a:graphicData>
      </a:graphic>
    </xdr:graphicFrame>
    <xdr:clientData/>
  </xdr:twoCellAnchor>
  <xdr:twoCellAnchor editAs="oneCell">
    <xdr:from>
      <xdr:col>1</xdr:col>
      <xdr:colOff>523875</xdr:colOff>
      <xdr:row>201</xdr:row>
      <xdr:rowOff>57150</xdr:rowOff>
    </xdr:from>
    <xdr:to>
      <xdr:col>10</xdr:col>
      <xdr:colOff>9525</xdr:colOff>
      <xdr:row>224</xdr:row>
      <xdr:rowOff>285750</xdr:rowOff>
    </xdr:to>
    <xdr:pic>
      <xdr:nvPicPr>
        <xdr:cNvPr id="7" name="Picture 80"/>
        <xdr:cNvPicPr preferRelativeResize="1">
          <a:picLocks noChangeAspect="1"/>
        </xdr:cNvPicPr>
      </xdr:nvPicPr>
      <xdr:blipFill>
        <a:blip r:embed="rId7"/>
        <a:stretch>
          <a:fillRect/>
        </a:stretch>
      </xdr:blipFill>
      <xdr:spPr>
        <a:xfrm>
          <a:off x="1209675" y="40500300"/>
          <a:ext cx="4533900" cy="3952875"/>
        </a:xfrm>
        <a:prstGeom prst="rect">
          <a:avLst/>
        </a:prstGeom>
        <a:noFill/>
        <a:ln w="9525" cmpd="sng">
          <a:noFill/>
        </a:ln>
      </xdr:spPr>
    </xdr:pic>
    <xdr:clientData/>
  </xdr:twoCellAnchor>
  <xdr:twoCellAnchor>
    <xdr:from>
      <xdr:col>1</xdr:col>
      <xdr:colOff>276225</xdr:colOff>
      <xdr:row>195</xdr:row>
      <xdr:rowOff>161925</xdr:rowOff>
    </xdr:from>
    <xdr:to>
      <xdr:col>9</xdr:col>
      <xdr:colOff>428625</xdr:colOff>
      <xdr:row>224</xdr:row>
      <xdr:rowOff>66675</xdr:rowOff>
    </xdr:to>
    <xdr:graphicFrame>
      <xdr:nvGraphicFramePr>
        <xdr:cNvPr id="8" name="Chart 81"/>
        <xdr:cNvGraphicFramePr/>
      </xdr:nvGraphicFramePr>
      <xdr:xfrm>
        <a:off x="962025" y="40319325"/>
        <a:ext cx="4772025" cy="3914775"/>
      </xdr:xfrm>
      <a:graphic>
        <a:graphicData uri="http://schemas.openxmlformats.org/drawingml/2006/chart">
          <c:chart xmlns:c="http://schemas.openxmlformats.org/drawingml/2006/chart" r:id="rId8"/>
        </a:graphicData>
      </a:graphic>
    </xdr:graphicFrame>
    <xdr:clientData/>
  </xdr:twoCellAnchor>
  <xdr:oneCellAnchor>
    <xdr:from>
      <xdr:col>1</xdr:col>
      <xdr:colOff>504825</xdr:colOff>
      <xdr:row>220</xdr:row>
      <xdr:rowOff>114300</xdr:rowOff>
    </xdr:from>
    <xdr:ext cx="714375" cy="190500"/>
    <xdr:sp>
      <xdr:nvSpPr>
        <xdr:cNvPr id="9" name="TextBox 82"/>
        <xdr:cNvSpPr txBox="1">
          <a:spLocks noChangeArrowheads="1"/>
        </xdr:cNvSpPr>
      </xdr:nvSpPr>
      <xdr:spPr>
        <a:xfrm>
          <a:off x="1190625" y="43634025"/>
          <a:ext cx="714375" cy="190500"/>
        </a:xfrm>
        <a:prstGeom prst="rect">
          <a:avLst/>
        </a:prstGeom>
        <a:noFill/>
        <a:ln w="9525" cmpd="sng">
          <a:noFill/>
        </a:ln>
      </xdr:spPr>
      <xdr:txBody>
        <a:bodyPr vertOverflow="clip" wrap="square"/>
        <a:p>
          <a:pPr algn="l">
            <a:defRPr/>
          </a:pPr>
          <a:r>
            <a:rPr lang="en-US" cap="none" sz="800" b="1" i="0" u="none" baseline="0">
              <a:solidFill>
                <a:srgbClr val="FF9900"/>
              </a:solidFill>
              <a:latin typeface="Arial"/>
              <a:ea typeface="Arial"/>
              <a:cs typeface="Arial"/>
            </a:rPr>
            <a:t>ENDOMORFO</a:t>
          </a:r>
        </a:p>
      </xdr:txBody>
    </xdr:sp>
    <xdr:clientData/>
  </xdr:oneCellAnchor>
  <xdr:oneCellAnchor>
    <xdr:from>
      <xdr:col>4</xdr:col>
      <xdr:colOff>428625</xdr:colOff>
      <xdr:row>201</xdr:row>
      <xdr:rowOff>57150</xdr:rowOff>
    </xdr:from>
    <xdr:ext cx="828675" cy="152400"/>
    <xdr:sp>
      <xdr:nvSpPr>
        <xdr:cNvPr id="10" name="TextBox 83"/>
        <xdr:cNvSpPr txBox="1">
          <a:spLocks noChangeArrowheads="1"/>
        </xdr:cNvSpPr>
      </xdr:nvSpPr>
      <xdr:spPr>
        <a:xfrm>
          <a:off x="3057525" y="40500300"/>
          <a:ext cx="828675" cy="152400"/>
        </a:xfrm>
        <a:prstGeom prst="rect">
          <a:avLst/>
        </a:prstGeom>
        <a:noFill/>
        <a:ln w="9525" cmpd="sng">
          <a:noFill/>
        </a:ln>
      </xdr:spPr>
      <xdr:txBody>
        <a:bodyPr vertOverflow="clip" wrap="square"/>
        <a:p>
          <a:pPr algn="ctr">
            <a:defRPr/>
          </a:pPr>
          <a:r>
            <a:rPr lang="en-US" cap="none" sz="800" b="1" i="0" u="none" baseline="0">
              <a:solidFill>
                <a:srgbClr val="3366FF"/>
              </a:solidFill>
              <a:latin typeface="Arial"/>
              <a:ea typeface="Arial"/>
              <a:cs typeface="Arial"/>
            </a:rPr>
            <a:t>MESOMORFO</a:t>
          </a:r>
        </a:p>
      </xdr:txBody>
    </xdr:sp>
    <xdr:clientData/>
  </xdr:oneCellAnchor>
  <xdr:oneCellAnchor>
    <xdr:from>
      <xdr:col>7</xdr:col>
      <xdr:colOff>390525</xdr:colOff>
      <xdr:row>220</xdr:row>
      <xdr:rowOff>76200</xdr:rowOff>
    </xdr:from>
    <xdr:ext cx="828675" cy="152400"/>
    <xdr:sp>
      <xdr:nvSpPr>
        <xdr:cNvPr id="11" name="TextBox 84"/>
        <xdr:cNvSpPr txBox="1">
          <a:spLocks noChangeArrowheads="1"/>
        </xdr:cNvSpPr>
      </xdr:nvSpPr>
      <xdr:spPr>
        <a:xfrm>
          <a:off x="4838700" y="43595925"/>
          <a:ext cx="828675" cy="152400"/>
        </a:xfrm>
        <a:prstGeom prst="rect">
          <a:avLst/>
        </a:prstGeom>
        <a:noFill/>
        <a:ln w="9525" cmpd="sng">
          <a:noFill/>
        </a:ln>
      </xdr:spPr>
      <xdr:txBody>
        <a:bodyPr vertOverflow="clip" wrap="square"/>
        <a:p>
          <a:pPr algn="ctr">
            <a:defRPr/>
          </a:pPr>
          <a:r>
            <a:rPr lang="en-US" cap="none" sz="800" b="1" i="0" u="none" baseline="0">
              <a:solidFill>
                <a:srgbClr val="339966"/>
              </a:solidFill>
              <a:latin typeface="Arial"/>
              <a:ea typeface="Arial"/>
              <a:cs typeface="Arial"/>
            </a:rPr>
            <a:t>ECTOMORFO</a:t>
          </a:r>
        </a:p>
      </xdr:txBody>
    </xdr:sp>
    <xdr:clientData/>
  </xdr:oneCellAnchor>
  <xdr:twoCellAnchor>
    <xdr:from>
      <xdr:col>9</xdr:col>
      <xdr:colOff>114300</xdr:colOff>
      <xdr:row>226</xdr:row>
      <xdr:rowOff>19050</xdr:rowOff>
    </xdr:from>
    <xdr:to>
      <xdr:col>9</xdr:col>
      <xdr:colOff>257175</xdr:colOff>
      <xdr:row>226</xdr:row>
      <xdr:rowOff>152400</xdr:rowOff>
    </xdr:to>
    <xdr:sp>
      <xdr:nvSpPr>
        <xdr:cNvPr id="12" name="Oval 85"/>
        <xdr:cNvSpPr>
          <a:spLocks/>
        </xdr:cNvSpPr>
      </xdr:nvSpPr>
      <xdr:spPr>
        <a:xfrm>
          <a:off x="5419725" y="44643675"/>
          <a:ext cx="142875" cy="133350"/>
        </a:xfrm>
        <a:prstGeom prst="ellipse">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229</xdr:row>
      <xdr:rowOff>142875</xdr:rowOff>
    </xdr:from>
    <xdr:to>
      <xdr:col>0</xdr:col>
      <xdr:colOff>209550</xdr:colOff>
      <xdr:row>230</xdr:row>
      <xdr:rowOff>85725</xdr:rowOff>
    </xdr:to>
    <xdr:sp>
      <xdr:nvSpPr>
        <xdr:cNvPr id="13" name="AutoShape 86"/>
        <xdr:cNvSpPr>
          <a:spLocks/>
        </xdr:cNvSpPr>
      </xdr:nvSpPr>
      <xdr:spPr>
        <a:xfrm>
          <a:off x="38100" y="45310425"/>
          <a:ext cx="171450" cy="104775"/>
        </a:xfrm>
        <a:prstGeom prst="diamond">
          <a:avLst/>
        </a:pr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114300</xdr:colOff>
      <xdr:row>227</xdr:row>
      <xdr:rowOff>28575</xdr:rowOff>
    </xdr:from>
    <xdr:to>
      <xdr:col>9</xdr:col>
      <xdr:colOff>257175</xdr:colOff>
      <xdr:row>227</xdr:row>
      <xdr:rowOff>161925</xdr:rowOff>
    </xdr:to>
    <xdr:sp>
      <xdr:nvSpPr>
        <xdr:cNvPr id="14" name="Oval 87"/>
        <xdr:cNvSpPr>
          <a:spLocks/>
        </xdr:cNvSpPr>
      </xdr:nvSpPr>
      <xdr:spPr>
        <a:xfrm>
          <a:off x="5419725" y="44843700"/>
          <a:ext cx="142875" cy="133350"/>
        </a:xfrm>
        <a:prstGeom prst="ellipse">
          <a:avLst/>
        </a:prstGeom>
        <a:solidFill>
          <a:srgbClr val="00FF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Escritorio\Arangio\Antrop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 datos brutos"/>
      <sheetName val="Presentación"/>
    </sheetNames>
    <sheetDataSet>
      <sheetData sheetId="0">
        <row r="2">
          <cell r="BD2" t="str">
            <v>Arq</v>
          </cell>
          <cell r="BE2" t="str">
            <v>Posición: Arquero</v>
          </cell>
          <cell r="BF2" t="str">
            <v>Arquero Z-Score</v>
          </cell>
        </row>
        <row r="3">
          <cell r="AH3">
            <v>1</v>
          </cell>
          <cell r="AI3">
            <v>84.59</v>
          </cell>
          <cell r="AJ3">
            <v>6.82</v>
          </cell>
          <cell r="AK3">
            <v>1</v>
          </cell>
          <cell r="AL3">
            <v>79.38</v>
          </cell>
          <cell r="AM3">
            <v>4.92</v>
          </cell>
          <cell r="AN3">
            <v>1</v>
          </cell>
          <cell r="AO3">
            <v>72.54</v>
          </cell>
          <cell r="AP3">
            <v>5.06</v>
          </cell>
          <cell r="AQ3">
            <v>1</v>
          </cell>
          <cell r="AR3">
            <v>74.68</v>
          </cell>
          <cell r="AS3">
            <v>4.88</v>
          </cell>
          <cell r="AT3">
            <v>1</v>
          </cell>
          <cell r="AU3">
            <v>72.99</v>
          </cell>
          <cell r="AV3">
            <v>5.19</v>
          </cell>
          <cell r="AW3">
            <v>1</v>
          </cell>
          <cell r="AX3">
            <v>71.6</v>
          </cell>
          <cell r="AY3">
            <v>4.95</v>
          </cell>
          <cell r="AZ3">
            <v>1</v>
          </cell>
          <cell r="BA3">
            <v>79.91</v>
          </cell>
          <cell r="BB3">
            <v>7.32</v>
          </cell>
          <cell r="BD3" t="str">
            <v>DefCen</v>
          </cell>
          <cell r="BE3" t="str">
            <v>Posición: Defensor Central</v>
          </cell>
          <cell r="BF3" t="str">
            <v>Defensor Central Z-Score</v>
          </cell>
        </row>
        <row r="4">
          <cell r="AH4">
            <v>2</v>
          </cell>
          <cell r="AI4">
            <v>182.36</v>
          </cell>
          <cell r="AJ4">
            <v>5.02</v>
          </cell>
          <cell r="AK4">
            <v>2</v>
          </cell>
          <cell r="AL4">
            <v>180.9</v>
          </cell>
          <cell r="AM4">
            <v>2.54</v>
          </cell>
          <cell r="AN4">
            <v>2</v>
          </cell>
          <cell r="AO4">
            <v>174.43</v>
          </cell>
          <cell r="AP4">
            <v>4.77</v>
          </cell>
          <cell r="AQ4">
            <v>2</v>
          </cell>
          <cell r="AR4">
            <v>177.64</v>
          </cell>
          <cell r="AS4">
            <v>5.75</v>
          </cell>
          <cell r="AT4">
            <v>2</v>
          </cell>
          <cell r="AU4">
            <v>174.99</v>
          </cell>
          <cell r="AV4">
            <v>4.45</v>
          </cell>
          <cell r="AW4">
            <v>2</v>
          </cell>
          <cell r="AX4">
            <v>174.52</v>
          </cell>
          <cell r="AY4">
            <v>4.74</v>
          </cell>
          <cell r="AZ4">
            <v>2</v>
          </cell>
          <cell r="BA4">
            <v>178.82</v>
          </cell>
          <cell r="BB4">
            <v>5.46</v>
          </cell>
          <cell r="BD4" t="str">
            <v>DefLat</v>
          </cell>
          <cell r="BE4" t="str">
            <v>Posición: Defensor Lateral</v>
          </cell>
          <cell r="BF4" t="str">
            <v>Defensor Lateral Z-Score</v>
          </cell>
        </row>
        <row r="5">
          <cell r="AH5">
            <v>3</v>
          </cell>
          <cell r="AI5">
            <v>96.2</v>
          </cell>
          <cell r="AJ5">
            <v>2.95</v>
          </cell>
          <cell r="AK5">
            <v>3</v>
          </cell>
          <cell r="AL5">
            <v>94.54</v>
          </cell>
          <cell r="AM5">
            <v>1.9</v>
          </cell>
          <cell r="AN5">
            <v>3</v>
          </cell>
          <cell r="AO5">
            <v>92.16</v>
          </cell>
          <cell r="AP5">
            <v>2.28</v>
          </cell>
          <cell r="AQ5">
            <v>3</v>
          </cell>
          <cell r="AR5">
            <v>93.7</v>
          </cell>
          <cell r="AS5">
            <v>2.3</v>
          </cell>
          <cell r="AT5">
            <v>3</v>
          </cell>
          <cell r="AU5">
            <v>93.72</v>
          </cell>
          <cell r="AV5">
            <v>2.55</v>
          </cell>
          <cell r="AW5">
            <v>3</v>
          </cell>
          <cell r="AX5">
            <v>92.16</v>
          </cell>
          <cell r="AY5">
            <v>3</v>
          </cell>
          <cell r="AZ5">
            <v>3</v>
          </cell>
          <cell r="BA5">
            <v>94.54</v>
          </cell>
          <cell r="BB5">
            <v>2.78</v>
          </cell>
          <cell r="BD5" t="str">
            <v>DelCen</v>
          </cell>
          <cell r="BE5" t="str">
            <v>Posición: Delantero Central</v>
          </cell>
          <cell r="BF5" t="str">
            <v>Delantero Central Z-Score</v>
          </cell>
        </row>
        <row r="6">
          <cell r="AH6">
            <v>4</v>
          </cell>
          <cell r="AI6">
            <v>189.69</v>
          </cell>
          <cell r="AJ6">
            <v>5.68</v>
          </cell>
          <cell r="AK6">
            <v>4</v>
          </cell>
          <cell r="AL6">
            <v>186.01</v>
          </cell>
          <cell r="AM6">
            <v>4.01</v>
          </cell>
          <cell r="AN6">
            <v>4</v>
          </cell>
          <cell r="AO6">
            <v>179.96</v>
          </cell>
          <cell r="AP6">
            <v>7.21</v>
          </cell>
          <cell r="AQ6">
            <v>4</v>
          </cell>
          <cell r="AR6">
            <v>182.03</v>
          </cell>
          <cell r="AS6">
            <v>7.34</v>
          </cell>
          <cell r="AT6">
            <v>4</v>
          </cell>
          <cell r="AU6">
            <v>178.52</v>
          </cell>
          <cell r="AV6">
            <v>7.49</v>
          </cell>
          <cell r="AW6">
            <v>4</v>
          </cell>
          <cell r="AX6">
            <v>179.7</v>
          </cell>
          <cell r="AY6">
            <v>6.66</v>
          </cell>
          <cell r="AZ6">
            <v>4</v>
          </cell>
          <cell r="BA6">
            <v>183.28</v>
          </cell>
          <cell r="BB6">
            <v>7.85</v>
          </cell>
          <cell r="BD6" t="str">
            <v>DelLat</v>
          </cell>
          <cell r="BE6" t="str">
            <v>Posición: Delantero Lateral</v>
          </cell>
          <cell r="BF6" t="str">
            <v>Delantero Lateral Z-Score</v>
          </cell>
        </row>
        <row r="7">
          <cell r="AH7">
            <v>5</v>
          </cell>
          <cell r="AI7">
            <v>35.22</v>
          </cell>
          <cell r="AJ7">
            <v>1.8</v>
          </cell>
          <cell r="AK7">
            <v>5</v>
          </cell>
          <cell r="AL7">
            <v>34.07</v>
          </cell>
          <cell r="AM7">
            <v>0.99</v>
          </cell>
          <cell r="AN7">
            <v>5</v>
          </cell>
          <cell r="AO7">
            <v>33.3</v>
          </cell>
          <cell r="AP7">
            <v>1.68</v>
          </cell>
          <cell r="AQ7">
            <v>5</v>
          </cell>
          <cell r="AR7">
            <v>33.76</v>
          </cell>
          <cell r="AS7">
            <v>1.56</v>
          </cell>
          <cell r="AT7">
            <v>5</v>
          </cell>
          <cell r="AU7">
            <v>33.44</v>
          </cell>
          <cell r="AV7">
            <v>1.42</v>
          </cell>
          <cell r="AW7">
            <v>5</v>
          </cell>
          <cell r="AX7">
            <v>33.25</v>
          </cell>
          <cell r="AY7">
            <v>1.24</v>
          </cell>
          <cell r="AZ7">
            <v>5</v>
          </cell>
          <cell r="BA7">
            <v>33.92</v>
          </cell>
          <cell r="BB7">
            <v>1.26</v>
          </cell>
          <cell r="BD7" t="str">
            <v>MedDef</v>
          </cell>
          <cell r="BE7" t="str">
            <v>Posición: Medio Defensivo</v>
          </cell>
          <cell r="BF7" t="str">
            <v>Medio Defensivo Z-Score</v>
          </cell>
        </row>
        <row r="8">
          <cell r="AH8">
            <v>6</v>
          </cell>
          <cell r="AI8">
            <v>27.03</v>
          </cell>
          <cell r="AJ8">
            <v>0.8</v>
          </cell>
          <cell r="AK8">
            <v>6</v>
          </cell>
          <cell r="AL8">
            <v>26.43</v>
          </cell>
          <cell r="AM8">
            <v>0.96</v>
          </cell>
          <cell r="AN8">
            <v>6</v>
          </cell>
          <cell r="AO8">
            <v>25.79</v>
          </cell>
          <cell r="AP8">
            <v>1.15</v>
          </cell>
          <cell r="AQ8">
            <v>6</v>
          </cell>
          <cell r="AR8">
            <v>26.38</v>
          </cell>
          <cell r="AS8">
            <v>1.38</v>
          </cell>
          <cell r="AT8">
            <v>6</v>
          </cell>
          <cell r="AU8">
            <v>25.09</v>
          </cell>
          <cell r="AV8">
            <v>1.14</v>
          </cell>
          <cell r="AW8">
            <v>6</v>
          </cell>
          <cell r="AX8">
            <v>25.58</v>
          </cell>
          <cell r="AY8">
            <v>1.38</v>
          </cell>
          <cell r="AZ8">
            <v>6</v>
          </cell>
          <cell r="BA8">
            <v>26.4</v>
          </cell>
          <cell r="BB8">
            <v>1.22</v>
          </cell>
          <cell r="BD8" t="str">
            <v>MedOf</v>
          </cell>
          <cell r="BE8" t="str">
            <v>Posición: Medio Ofensivo</v>
          </cell>
          <cell r="BF8" t="str">
            <v>Medio Ofensivo Z-Score</v>
          </cell>
        </row>
        <row r="9">
          <cell r="AH9">
            <v>7</v>
          </cell>
          <cell r="AI9">
            <v>20.38</v>
          </cell>
          <cell r="AJ9">
            <v>0.92</v>
          </cell>
          <cell r="AK9">
            <v>7</v>
          </cell>
          <cell r="AL9">
            <v>20.15</v>
          </cell>
          <cell r="AM9">
            <v>0.64</v>
          </cell>
          <cell r="AN9">
            <v>7</v>
          </cell>
          <cell r="AO9">
            <v>19.64</v>
          </cell>
          <cell r="AP9">
            <v>1.1</v>
          </cell>
          <cell r="AQ9">
            <v>7</v>
          </cell>
          <cell r="AR9">
            <v>19.75</v>
          </cell>
          <cell r="AS9">
            <v>0.66</v>
          </cell>
          <cell r="AT9">
            <v>7</v>
          </cell>
          <cell r="AU9">
            <v>19.56</v>
          </cell>
          <cell r="AV9">
            <v>1</v>
          </cell>
          <cell r="AW9">
            <v>7</v>
          </cell>
          <cell r="AX9">
            <v>19.84</v>
          </cell>
          <cell r="AY9">
            <v>0.75</v>
          </cell>
          <cell r="AZ9">
            <v>7</v>
          </cell>
          <cell r="BA9">
            <v>19.63</v>
          </cell>
          <cell r="BB9">
            <v>1.21</v>
          </cell>
        </row>
        <row r="10">
          <cell r="AH10">
            <v>8</v>
          </cell>
          <cell r="AI10">
            <v>99.8</v>
          </cell>
          <cell r="AJ10">
            <v>3.48</v>
          </cell>
          <cell r="AK10">
            <v>8</v>
          </cell>
          <cell r="AL10">
            <v>99.87</v>
          </cell>
          <cell r="AM10">
            <v>3.57</v>
          </cell>
          <cell r="AN10">
            <v>8</v>
          </cell>
          <cell r="AO10">
            <v>94.85</v>
          </cell>
          <cell r="AP10">
            <v>4.21</v>
          </cell>
          <cell r="AQ10">
            <v>8</v>
          </cell>
          <cell r="AR10">
            <v>96.7</v>
          </cell>
          <cell r="AS10">
            <v>4.8</v>
          </cell>
          <cell r="AT10">
            <v>8</v>
          </cell>
          <cell r="AU10">
            <v>94.3</v>
          </cell>
          <cell r="AV10">
            <v>4.34</v>
          </cell>
          <cell r="AW10">
            <v>8</v>
          </cell>
          <cell r="AX10">
            <v>96.93</v>
          </cell>
          <cell r="AY10">
            <v>3.83</v>
          </cell>
          <cell r="AZ10">
            <v>8</v>
          </cell>
          <cell r="BA10">
            <v>98.3</v>
          </cell>
          <cell r="BB10">
            <v>3.87</v>
          </cell>
        </row>
        <row r="11">
          <cell r="AH11">
            <v>9</v>
          </cell>
          <cell r="AI11">
            <v>94.67</v>
          </cell>
          <cell r="AJ11">
            <v>3.87</v>
          </cell>
          <cell r="AK11">
            <v>9</v>
          </cell>
          <cell r="AL11">
            <v>93.34</v>
          </cell>
          <cell r="AM11">
            <v>2.19</v>
          </cell>
          <cell r="AN11">
            <v>9</v>
          </cell>
          <cell r="AO11">
            <v>89.98</v>
          </cell>
          <cell r="AP11">
            <v>4.14</v>
          </cell>
          <cell r="AQ11">
            <v>9</v>
          </cell>
          <cell r="AR11">
            <v>91.81</v>
          </cell>
          <cell r="AS11">
            <v>4.79</v>
          </cell>
          <cell r="AT11">
            <v>9</v>
          </cell>
          <cell r="AU11">
            <v>89.43</v>
          </cell>
          <cell r="AV11">
            <v>3.94</v>
          </cell>
          <cell r="AW11">
            <v>9</v>
          </cell>
          <cell r="AX11">
            <v>90.35</v>
          </cell>
          <cell r="AY11">
            <v>3.61</v>
          </cell>
          <cell r="AZ11">
            <v>9</v>
          </cell>
          <cell r="BA11">
            <v>93.15</v>
          </cell>
          <cell r="BB11">
            <v>3.84</v>
          </cell>
        </row>
        <row r="12">
          <cell r="AH12">
            <v>10</v>
          </cell>
          <cell r="AI12">
            <v>46.18</v>
          </cell>
          <cell r="AJ12">
            <v>2.25</v>
          </cell>
          <cell r="AK12">
            <v>10</v>
          </cell>
          <cell r="AL12">
            <v>45.58</v>
          </cell>
          <cell r="AM12">
            <v>1.72</v>
          </cell>
          <cell r="AN12">
            <v>10</v>
          </cell>
          <cell r="AO12">
            <v>44.37</v>
          </cell>
          <cell r="AP12">
            <v>2.95</v>
          </cell>
          <cell r="AQ12">
            <v>10</v>
          </cell>
          <cell r="AR12">
            <v>45.53</v>
          </cell>
          <cell r="AS12">
            <v>2.62</v>
          </cell>
          <cell r="AT12">
            <v>10</v>
          </cell>
          <cell r="AU12">
            <v>44.15</v>
          </cell>
          <cell r="AV12">
            <v>2.81</v>
          </cell>
          <cell r="AW12">
            <v>10</v>
          </cell>
          <cell r="AX12">
            <v>44.3</v>
          </cell>
          <cell r="AY12">
            <v>2.53</v>
          </cell>
          <cell r="AZ12">
            <v>10</v>
          </cell>
          <cell r="BA12">
            <v>45.88</v>
          </cell>
          <cell r="BB12">
            <v>2.05</v>
          </cell>
        </row>
        <row r="13">
          <cell r="AH13">
            <v>11</v>
          </cell>
          <cell r="AI13">
            <v>48.43</v>
          </cell>
          <cell r="AJ13">
            <v>2.16</v>
          </cell>
          <cell r="AK13">
            <v>11</v>
          </cell>
          <cell r="AL13">
            <v>48.07</v>
          </cell>
          <cell r="AM13">
            <v>1.19</v>
          </cell>
          <cell r="AN13">
            <v>11</v>
          </cell>
          <cell r="AO13">
            <v>45.65</v>
          </cell>
          <cell r="AP13">
            <v>2.31</v>
          </cell>
          <cell r="AQ13">
            <v>11</v>
          </cell>
          <cell r="AR13">
            <v>46.81</v>
          </cell>
          <cell r="AS13">
            <v>2.42</v>
          </cell>
          <cell r="AT13">
            <v>11</v>
          </cell>
          <cell r="AU13">
            <v>45.96</v>
          </cell>
          <cell r="AV13">
            <v>2.77</v>
          </cell>
          <cell r="AW13">
            <v>11</v>
          </cell>
          <cell r="AX13">
            <v>46.15</v>
          </cell>
          <cell r="AY13">
            <v>2.3</v>
          </cell>
          <cell r="AZ13">
            <v>11</v>
          </cell>
          <cell r="BA13">
            <v>47.4</v>
          </cell>
          <cell r="BB13">
            <v>2.08</v>
          </cell>
        </row>
        <row r="14">
          <cell r="AH14">
            <v>12</v>
          </cell>
          <cell r="AI14">
            <v>41.05</v>
          </cell>
          <cell r="AJ14">
            <v>1.25</v>
          </cell>
          <cell r="AK14">
            <v>12</v>
          </cell>
          <cell r="AL14">
            <v>40.84</v>
          </cell>
          <cell r="AM14">
            <v>1.44</v>
          </cell>
          <cell r="AN14">
            <v>12</v>
          </cell>
          <cell r="AO14">
            <v>38.69</v>
          </cell>
          <cell r="AP14">
            <v>1.52</v>
          </cell>
          <cell r="AQ14">
            <v>12</v>
          </cell>
          <cell r="AR14">
            <v>39.63</v>
          </cell>
          <cell r="AS14">
            <v>2.6</v>
          </cell>
          <cell r="AT14">
            <v>12</v>
          </cell>
          <cell r="AU14">
            <v>38.37</v>
          </cell>
          <cell r="AV14">
            <v>1.99</v>
          </cell>
          <cell r="AW14">
            <v>12</v>
          </cell>
          <cell r="AX14">
            <v>39.32</v>
          </cell>
          <cell r="AY14">
            <v>2.09</v>
          </cell>
          <cell r="AZ14">
            <v>12</v>
          </cell>
          <cell r="BA14">
            <v>39.72</v>
          </cell>
          <cell r="BB14">
            <v>1.71</v>
          </cell>
        </row>
        <row r="15">
          <cell r="AH15">
            <v>13</v>
          </cell>
          <cell r="AI15">
            <v>27.7</v>
          </cell>
          <cell r="AJ15">
            <v>1.07</v>
          </cell>
          <cell r="AK15">
            <v>13</v>
          </cell>
          <cell r="AL15">
            <v>27.06</v>
          </cell>
          <cell r="AM15">
            <v>0.88</v>
          </cell>
          <cell r="AN15">
            <v>13</v>
          </cell>
          <cell r="AO15">
            <v>26.5</v>
          </cell>
          <cell r="AP15">
            <v>1.05</v>
          </cell>
          <cell r="AQ15">
            <v>13</v>
          </cell>
          <cell r="AR15">
            <v>26.74</v>
          </cell>
          <cell r="AS15">
            <v>1.08</v>
          </cell>
          <cell r="AT15">
            <v>13</v>
          </cell>
          <cell r="AU15">
            <v>26.54</v>
          </cell>
          <cell r="AV15">
            <v>1.03</v>
          </cell>
          <cell r="AW15">
            <v>13</v>
          </cell>
          <cell r="AX15">
            <v>26.83</v>
          </cell>
          <cell r="AY15">
            <v>1.02</v>
          </cell>
          <cell r="AZ15">
            <v>13</v>
          </cell>
          <cell r="BA15">
            <v>26.89</v>
          </cell>
          <cell r="BB15">
            <v>0.93</v>
          </cell>
        </row>
        <row r="16">
          <cell r="AH16">
            <v>14</v>
          </cell>
          <cell r="AI16">
            <v>42.02</v>
          </cell>
          <cell r="AJ16">
            <v>1.62</v>
          </cell>
          <cell r="AK16">
            <v>14</v>
          </cell>
          <cell r="AL16">
            <v>40.99</v>
          </cell>
          <cell r="AM16">
            <v>1.7</v>
          </cell>
          <cell r="AN16">
            <v>14</v>
          </cell>
          <cell r="AO16">
            <v>39.85</v>
          </cell>
          <cell r="AP16">
            <v>2.02</v>
          </cell>
          <cell r="AQ16">
            <v>14</v>
          </cell>
          <cell r="AR16">
            <v>40.43</v>
          </cell>
          <cell r="AS16">
            <v>1.29</v>
          </cell>
          <cell r="AT16">
            <v>14</v>
          </cell>
          <cell r="AU16">
            <v>39.97</v>
          </cell>
          <cell r="AV16">
            <v>1.76</v>
          </cell>
          <cell r="AW16">
            <v>14</v>
          </cell>
          <cell r="AX16">
            <v>40.26</v>
          </cell>
          <cell r="AY16">
            <v>1.48</v>
          </cell>
          <cell r="AZ16">
            <v>14</v>
          </cell>
          <cell r="BA16">
            <v>41.42</v>
          </cell>
          <cell r="BB16">
            <v>1.73</v>
          </cell>
        </row>
        <row r="17">
          <cell r="AH17">
            <v>15</v>
          </cell>
          <cell r="AI17">
            <v>30.33</v>
          </cell>
          <cell r="AJ17">
            <v>1.94</v>
          </cell>
          <cell r="AK17">
            <v>15</v>
          </cell>
          <cell r="AL17">
            <v>29.46</v>
          </cell>
          <cell r="AM17">
            <v>1.75</v>
          </cell>
          <cell r="AN17">
            <v>15</v>
          </cell>
          <cell r="AO17">
            <v>28.76</v>
          </cell>
          <cell r="AP17">
            <v>1.9</v>
          </cell>
          <cell r="AQ17">
            <v>15</v>
          </cell>
          <cell r="AR17">
            <v>28.48</v>
          </cell>
          <cell r="AS17">
            <v>1.68</v>
          </cell>
          <cell r="AT17">
            <v>15</v>
          </cell>
          <cell r="AU17">
            <v>28.8</v>
          </cell>
          <cell r="AV17">
            <v>1.66</v>
          </cell>
          <cell r="AW17">
            <v>15</v>
          </cell>
          <cell r="AX17">
            <v>28.16</v>
          </cell>
          <cell r="AY17">
            <v>1.27</v>
          </cell>
          <cell r="AZ17">
            <v>15</v>
          </cell>
          <cell r="BA17">
            <v>30.05</v>
          </cell>
          <cell r="BB17">
            <v>2.88</v>
          </cell>
        </row>
        <row r="18">
          <cell r="AH18">
            <v>16</v>
          </cell>
          <cell r="AI18">
            <v>22.15</v>
          </cell>
          <cell r="AJ18">
            <v>1.56</v>
          </cell>
          <cell r="AK18">
            <v>16</v>
          </cell>
          <cell r="AL18">
            <v>20.92</v>
          </cell>
          <cell r="AM18">
            <v>1.33</v>
          </cell>
          <cell r="AN18">
            <v>16</v>
          </cell>
          <cell r="AO18">
            <v>20.31</v>
          </cell>
          <cell r="AP18">
            <v>1.37</v>
          </cell>
          <cell r="AQ18">
            <v>16</v>
          </cell>
          <cell r="AR18">
            <v>20.89</v>
          </cell>
          <cell r="AS18">
            <v>1.02</v>
          </cell>
          <cell r="AT18">
            <v>16</v>
          </cell>
          <cell r="AU18">
            <v>20.94</v>
          </cell>
          <cell r="AV18">
            <v>0.94</v>
          </cell>
          <cell r="AW18">
            <v>16</v>
          </cell>
          <cell r="AX18">
            <v>20.44</v>
          </cell>
          <cell r="AY18">
            <v>1.01</v>
          </cell>
          <cell r="AZ18">
            <v>16</v>
          </cell>
          <cell r="BA18">
            <v>21.38</v>
          </cell>
          <cell r="BB18">
            <v>0.96</v>
          </cell>
        </row>
        <row r="19">
          <cell r="AH19">
            <v>17</v>
          </cell>
          <cell r="AI19">
            <v>29.55</v>
          </cell>
          <cell r="AJ19">
            <v>3.22</v>
          </cell>
          <cell r="AK19">
            <v>17</v>
          </cell>
          <cell r="AL19">
            <v>28.83</v>
          </cell>
          <cell r="AM19">
            <v>1.41</v>
          </cell>
          <cell r="AN19">
            <v>17</v>
          </cell>
          <cell r="AO19">
            <v>27.87</v>
          </cell>
          <cell r="AP19">
            <v>2.56</v>
          </cell>
          <cell r="AQ19">
            <v>17</v>
          </cell>
          <cell r="AR19">
            <v>28.16</v>
          </cell>
          <cell r="AS19">
            <v>1.27</v>
          </cell>
          <cell r="AT19">
            <v>17</v>
          </cell>
          <cell r="AU19">
            <v>28.38</v>
          </cell>
          <cell r="AV19">
            <v>2.52</v>
          </cell>
          <cell r="AW19">
            <v>17</v>
          </cell>
          <cell r="AX19">
            <v>27.44</v>
          </cell>
          <cell r="AY19">
            <v>1.22</v>
          </cell>
          <cell r="AZ19">
            <v>17</v>
          </cell>
          <cell r="BA19">
            <v>27.87</v>
          </cell>
          <cell r="BB19">
            <v>1.42</v>
          </cell>
        </row>
        <row r="20">
          <cell r="AH20">
            <v>18</v>
          </cell>
          <cell r="AI20">
            <v>7.27</v>
          </cell>
          <cell r="AJ20">
            <v>0.31</v>
          </cell>
          <cell r="AK20">
            <v>18</v>
          </cell>
          <cell r="AL20">
            <v>7.34</v>
          </cell>
          <cell r="AM20">
            <v>0.27</v>
          </cell>
          <cell r="AN20">
            <v>18</v>
          </cell>
          <cell r="AO20">
            <v>7.05</v>
          </cell>
          <cell r="AP20">
            <v>0.29</v>
          </cell>
          <cell r="AQ20">
            <v>18</v>
          </cell>
          <cell r="AR20">
            <v>7.11</v>
          </cell>
          <cell r="AS20">
            <v>0.2</v>
          </cell>
          <cell r="AT20">
            <v>18</v>
          </cell>
          <cell r="AU20">
            <v>7.12</v>
          </cell>
          <cell r="AV20">
            <v>0.33</v>
          </cell>
          <cell r="AW20">
            <v>18</v>
          </cell>
          <cell r="AX20">
            <v>7.05</v>
          </cell>
          <cell r="AY20">
            <v>0.31</v>
          </cell>
          <cell r="AZ20">
            <v>18</v>
          </cell>
          <cell r="BA20">
            <v>7.3</v>
          </cell>
          <cell r="BB20">
            <v>0.35</v>
          </cell>
        </row>
        <row r="21">
          <cell r="AH21">
            <v>19</v>
          </cell>
          <cell r="AK21">
            <v>19</v>
          </cell>
          <cell r="AN21">
            <v>19</v>
          </cell>
          <cell r="AQ21">
            <v>19</v>
          </cell>
          <cell r="AT21">
            <v>19</v>
          </cell>
          <cell r="AW21">
            <v>19</v>
          </cell>
          <cell r="AZ21">
            <v>19</v>
          </cell>
        </row>
        <row r="22">
          <cell r="AH22">
            <v>20</v>
          </cell>
          <cell r="AI22">
            <v>6.13</v>
          </cell>
          <cell r="AJ22">
            <v>0.35</v>
          </cell>
          <cell r="AK22">
            <v>20</v>
          </cell>
          <cell r="AL22">
            <v>5.99</v>
          </cell>
          <cell r="AM22">
            <v>0.23</v>
          </cell>
          <cell r="AN22">
            <v>20</v>
          </cell>
          <cell r="AO22">
            <v>5.85</v>
          </cell>
          <cell r="AP22">
            <v>0.28</v>
          </cell>
          <cell r="AQ22">
            <v>20</v>
          </cell>
          <cell r="AR22">
            <v>5.92</v>
          </cell>
          <cell r="AS22">
            <v>0.26</v>
          </cell>
          <cell r="AT22">
            <v>20</v>
          </cell>
          <cell r="AU22">
            <v>5.81</v>
          </cell>
          <cell r="AV22">
            <v>0.35</v>
          </cell>
          <cell r="AW22">
            <v>20</v>
          </cell>
          <cell r="AX22">
            <v>5.85</v>
          </cell>
          <cell r="AY22">
            <v>0.22</v>
          </cell>
          <cell r="AZ22">
            <v>20</v>
          </cell>
          <cell r="BA22">
            <v>5.86</v>
          </cell>
          <cell r="BB22">
            <v>0.28</v>
          </cell>
        </row>
        <row r="23">
          <cell r="AH23">
            <v>21</v>
          </cell>
          <cell r="AK23">
            <v>21</v>
          </cell>
          <cell r="AN23">
            <v>21</v>
          </cell>
          <cell r="AQ23">
            <v>21</v>
          </cell>
          <cell r="AT23">
            <v>21</v>
          </cell>
          <cell r="AW23">
            <v>21</v>
          </cell>
          <cell r="AZ23">
            <v>21</v>
          </cell>
        </row>
        <row r="24">
          <cell r="AH24">
            <v>22</v>
          </cell>
          <cell r="AI24">
            <v>8.77</v>
          </cell>
          <cell r="AJ24">
            <v>0.47</v>
          </cell>
          <cell r="AK24">
            <v>22</v>
          </cell>
          <cell r="AL24">
            <v>8.56</v>
          </cell>
          <cell r="AM24">
            <v>0.38</v>
          </cell>
          <cell r="AN24">
            <v>22</v>
          </cell>
          <cell r="AO24">
            <v>8.34</v>
          </cell>
          <cell r="AP24">
            <v>0.41</v>
          </cell>
          <cell r="AQ24">
            <v>22</v>
          </cell>
          <cell r="AR24">
            <v>8.35</v>
          </cell>
          <cell r="AS24">
            <v>0.37</v>
          </cell>
          <cell r="AT24">
            <v>22</v>
          </cell>
          <cell r="AU24">
            <v>8.24</v>
          </cell>
          <cell r="AV24">
            <v>0.26</v>
          </cell>
          <cell r="AW24">
            <v>22</v>
          </cell>
          <cell r="AX24">
            <v>8.27</v>
          </cell>
          <cell r="AY24">
            <v>0.39</v>
          </cell>
          <cell r="AZ24">
            <v>22</v>
          </cell>
          <cell r="BA24">
            <v>8.46</v>
          </cell>
          <cell r="BB24">
            <v>0.42</v>
          </cell>
        </row>
        <row r="25">
          <cell r="AH25">
            <v>23</v>
          </cell>
          <cell r="AI25">
            <v>57.25</v>
          </cell>
          <cell r="AJ25">
            <v>1.34</v>
          </cell>
          <cell r="AK25">
            <v>23</v>
          </cell>
          <cell r="AL25">
            <v>56.88</v>
          </cell>
          <cell r="AM25">
            <v>1.27</v>
          </cell>
          <cell r="AN25">
            <v>23</v>
          </cell>
          <cell r="AO25">
            <v>55.7</v>
          </cell>
          <cell r="AP25">
            <v>1.35</v>
          </cell>
          <cell r="AQ25">
            <v>23</v>
          </cell>
          <cell r="AR25">
            <v>56.23</v>
          </cell>
          <cell r="AS25">
            <v>1.43</v>
          </cell>
          <cell r="AT25">
            <v>23</v>
          </cell>
          <cell r="AU25">
            <v>56.6</v>
          </cell>
          <cell r="AV25">
            <v>2.12</v>
          </cell>
          <cell r="AW25">
            <v>23</v>
          </cell>
          <cell r="AX25">
            <v>55.68</v>
          </cell>
          <cell r="AY25">
            <v>1.1</v>
          </cell>
          <cell r="AZ25">
            <v>23</v>
          </cell>
          <cell r="BA25">
            <v>57.33</v>
          </cell>
          <cell r="BB25">
            <v>0.7</v>
          </cell>
        </row>
        <row r="26">
          <cell r="AH26">
            <v>24</v>
          </cell>
          <cell r="AI26">
            <v>39.83</v>
          </cell>
          <cell r="AJ26">
            <v>1.39</v>
          </cell>
          <cell r="AK26">
            <v>24</v>
          </cell>
          <cell r="AL26">
            <v>39.15</v>
          </cell>
          <cell r="AM26">
            <v>0.94</v>
          </cell>
          <cell r="AN26">
            <v>24</v>
          </cell>
          <cell r="AO26">
            <v>38.33</v>
          </cell>
          <cell r="AP26">
            <v>1.41</v>
          </cell>
          <cell r="AQ26">
            <v>24</v>
          </cell>
          <cell r="AR26">
            <v>38.53</v>
          </cell>
          <cell r="AS26">
            <v>1.86</v>
          </cell>
          <cell r="AT26">
            <v>24</v>
          </cell>
          <cell r="AU26">
            <v>38.83</v>
          </cell>
          <cell r="AV26">
            <v>1.77</v>
          </cell>
          <cell r="AW26">
            <v>24</v>
          </cell>
          <cell r="AX26">
            <v>38.3</v>
          </cell>
          <cell r="AY26">
            <v>1.65</v>
          </cell>
          <cell r="AZ26">
            <v>24</v>
          </cell>
          <cell r="BA26">
            <v>38.8</v>
          </cell>
          <cell r="BB26">
            <v>1.73</v>
          </cell>
        </row>
        <row r="27">
          <cell r="AH27">
            <v>25</v>
          </cell>
          <cell r="AI27">
            <v>31.89</v>
          </cell>
          <cell r="AJ27">
            <v>1.55</v>
          </cell>
          <cell r="AK27">
            <v>25</v>
          </cell>
          <cell r="AL27">
            <v>30.23</v>
          </cell>
          <cell r="AM27">
            <v>1.48</v>
          </cell>
          <cell r="AN27">
            <v>25</v>
          </cell>
          <cell r="AO27">
            <v>29.52</v>
          </cell>
          <cell r="AP27">
            <v>1.47</v>
          </cell>
          <cell r="AQ27">
            <v>25</v>
          </cell>
          <cell r="AR27">
            <v>29.98</v>
          </cell>
          <cell r="AS27">
            <v>1.93</v>
          </cell>
          <cell r="AT27">
            <v>25</v>
          </cell>
          <cell r="AU27">
            <v>29.58</v>
          </cell>
          <cell r="AV27">
            <v>1.43</v>
          </cell>
          <cell r="AW27">
            <v>25</v>
          </cell>
          <cell r="AX27">
            <v>29.27</v>
          </cell>
          <cell r="AY27">
            <v>1.75</v>
          </cell>
          <cell r="AZ27">
            <v>25</v>
          </cell>
          <cell r="BA27">
            <v>30.86</v>
          </cell>
          <cell r="BB27">
            <v>1.48</v>
          </cell>
        </row>
        <row r="28">
          <cell r="AH28">
            <v>26</v>
          </cell>
          <cell r="AI28">
            <v>33.93</v>
          </cell>
          <cell r="AJ28">
            <v>1.48</v>
          </cell>
          <cell r="AK28">
            <v>26</v>
          </cell>
          <cell r="AL28">
            <v>32.5</v>
          </cell>
          <cell r="AM28">
            <v>1.61</v>
          </cell>
          <cell r="AN28">
            <v>26</v>
          </cell>
          <cell r="AO28">
            <v>31.43</v>
          </cell>
          <cell r="AP28">
            <v>1.58</v>
          </cell>
          <cell r="AQ28">
            <v>26</v>
          </cell>
          <cell r="AR28">
            <v>30.88</v>
          </cell>
          <cell r="AS28">
            <v>2.35</v>
          </cell>
          <cell r="AT28">
            <v>26</v>
          </cell>
          <cell r="AU28">
            <v>31.66</v>
          </cell>
          <cell r="AV28">
            <v>1.3</v>
          </cell>
          <cell r="AW28">
            <v>26</v>
          </cell>
          <cell r="AX28">
            <v>31.18</v>
          </cell>
          <cell r="AY28">
            <v>2.06</v>
          </cell>
          <cell r="AZ28">
            <v>26</v>
          </cell>
          <cell r="BA28">
            <v>32.72</v>
          </cell>
          <cell r="BB28">
            <v>1.46</v>
          </cell>
        </row>
        <row r="29">
          <cell r="AH29">
            <v>27</v>
          </cell>
          <cell r="AI29">
            <v>28.69</v>
          </cell>
          <cell r="AJ29">
            <v>1.05</v>
          </cell>
          <cell r="AK29">
            <v>27</v>
          </cell>
          <cell r="AL29">
            <v>27.67</v>
          </cell>
          <cell r="AM29">
            <v>0.97</v>
          </cell>
          <cell r="AN29">
            <v>27</v>
          </cell>
          <cell r="AO29">
            <v>26.59</v>
          </cell>
          <cell r="AP29">
            <v>0.9</v>
          </cell>
          <cell r="AQ29">
            <v>27</v>
          </cell>
          <cell r="AR29">
            <v>26.67</v>
          </cell>
          <cell r="AS29">
            <v>0.94</v>
          </cell>
          <cell r="AT29">
            <v>27</v>
          </cell>
          <cell r="AU29">
            <v>26.42</v>
          </cell>
          <cell r="AV29">
            <v>0.89</v>
          </cell>
          <cell r="AW29">
            <v>27</v>
          </cell>
          <cell r="AX29">
            <v>26.65</v>
          </cell>
          <cell r="AY29">
            <v>1.34</v>
          </cell>
          <cell r="AZ29">
            <v>27</v>
          </cell>
          <cell r="BA29">
            <v>28.01</v>
          </cell>
          <cell r="BB29">
            <v>1.39</v>
          </cell>
        </row>
        <row r="30">
          <cell r="AH30">
            <v>28</v>
          </cell>
          <cell r="AI30">
            <v>17.96</v>
          </cell>
          <cell r="AJ30">
            <v>0.92</v>
          </cell>
          <cell r="AK30">
            <v>28</v>
          </cell>
          <cell r="AL30">
            <v>17.31</v>
          </cell>
          <cell r="AM30">
            <v>0.53</v>
          </cell>
          <cell r="AN30">
            <v>28</v>
          </cell>
          <cell r="AO30">
            <v>16.77</v>
          </cell>
          <cell r="AP30">
            <v>0.77</v>
          </cell>
          <cell r="AQ30">
            <v>28</v>
          </cell>
          <cell r="AR30">
            <v>16.93</v>
          </cell>
          <cell r="AS30">
            <v>0.65</v>
          </cell>
          <cell r="AT30">
            <v>28</v>
          </cell>
          <cell r="AU30">
            <v>16.7</v>
          </cell>
          <cell r="AV30">
            <v>0.66</v>
          </cell>
          <cell r="AW30">
            <v>28</v>
          </cell>
          <cell r="AX30">
            <v>16.68</v>
          </cell>
          <cell r="AY30">
            <v>0.54</v>
          </cell>
          <cell r="AZ30">
            <v>28</v>
          </cell>
          <cell r="BA30">
            <v>17.17</v>
          </cell>
          <cell r="BB30">
            <v>0.59</v>
          </cell>
        </row>
        <row r="31">
          <cell r="AH31">
            <v>29</v>
          </cell>
          <cell r="AI31">
            <v>103.16</v>
          </cell>
          <cell r="AJ31">
            <v>5.13</v>
          </cell>
          <cell r="AK31">
            <v>29</v>
          </cell>
          <cell r="AL31">
            <v>97.32</v>
          </cell>
          <cell r="AM31">
            <v>3.71</v>
          </cell>
          <cell r="AN31">
            <v>29</v>
          </cell>
          <cell r="AO31">
            <v>94.84</v>
          </cell>
          <cell r="AP31">
            <v>3.81</v>
          </cell>
          <cell r="AQ31">
            <v>29</v>
          </cell>
          <cell r="AR31">
            <v>94.95</v>
          </cell>
          <cell r="AS31">
            <v>3.34</v>
          </cell>
          <cell r="AT31">
            <v>29</v>
          </cell>
          <cell r="AU31">
            <v>94.98</v>
          </cell>
          <cell r="AV31">
            <v>3.68</v>
          </cell>
          <cell r="AW31">
            <v>29</v>
          </cell>
          <cell r="AX31">
            <v>94.84</v>
          </cell>
          <cell r="AY31">
            <v>2.83</v>
          </cell>
          <cell r="AZ31">
            <v>29</v>
          </cell>
          <cell r="BA31">
            <v>98.66</v>
          </cell>
          <cell r="BB31">
            <v>2.75</v>
          </cell>
        </row>
        <row r="32">
          <cell r="AH32">
            <v>30</v>
          </cell>
          <cell r="AI32">
            <v>85.25</v>
          </cell>
          <cell r="AJ32">
            <v>2.88</v>
          </cell>
          <cell r="AK32">
            <v>30</v>
          </cell>
          <cell r="AL32">
            <v>83.09</v>
          </cell>
          <cell r="AM32">
            <v>2.64</v>
          </cell>
          <cell r="AN32">
            <v>30</v>
          </cell>
          <cell r="AO32">
            <v>80.7</v>
          </cell>
          <cell r="AP32">
            <v>2.51</v>
          </cell>
          <cell r="AQ32">
            <v>30</v>
          </cell>
          <cell r="AR32">
            <v>80.93</v>
          </cell>
          <cell r="AS32">
            <v>3.45</v>
          </cell>
          <cell r="AT32">
            <v>30</v>
          </cell>
          <cell r="AU32">
            <v>81.74</v>
          </cell>
          <cell r="AV32">
            <v>3.39</v>
          </cell>
          <cell r="AW32">
            <v>30</v>
          </cell>
          <cell r="AX32">
            <v>78.66</v>
          </cell>
          <cell r="AY32">
            <v>2.58</v>
          </cell>
          <cell r="AZ32">
            <v>30</v>
          </cell>
          <cell r="BA32">
            <v>83.46</v>
          </cell>
          <cell r="BB32">
            <v>3</v>
          </cell>
        </row>
        <row r="33">
          <cell r="AH33">
            <v>31</v>
          </cell>
          <cell r="AK33">
            <v>31</v>
          </cell>
          <cell r="AN33">
            <v>31</v>
          </cell>
          <cell r="AQ33">
            <v>31</v>
          </cell>
          <cell r="AT33">
            <v>31</v>
          </cell>
          <cell r="AW33">
            <v>31</v>
          </cell>
          <cell r="AZ33">
            <v>31</v>
          </cell>
        </row>
        <row r="34">
          <cell r="AH34">
            <v>32</v>
          </cell>
          <cell r="AI34">
            <v>101.68</v>
          </cell>
          <cell r="AJ34">
            <v>3.97</v>
          </cell>
          <cell r="AK34">
            <v>32</v>
          </cell>
          <cell r="AL34">
            <v>97.75</v>
          </cell>
          <cell r="AM34">
            <v>2.89</v>
          </cell>
          <cell r="AN34">
            <v>32</v>
          </cell>
          <cell r="AO34">
            <v>95.73</v>
          </cell>
          <cell r="AP34">
            <v>3.51</v>
          </cell>
          <cell r="AQ34">
            <v>32</v>
          </cell>
          <cell r="AR34">
            <v>96.37</v>
          </cell>
          <cell r="AS34">
            <v>3.16</v>
          </cell>
          <cell r="AT34">
            <v>32</v>
          </cell>
          <cell r="AU34">
            <v>97.49</v>
          </cell>
          <cell r="AV34">
            <v>2.64</v>
          </cell>
          <cell r="AW34">
            <v>32</v>
          </cell>
          <cell r="AX34">
            <v>94.64</v>
          </cell>
          <cell r="AY34">
            <v>2.9</v>
          </cell>
          <cell r="AZ34">
            <v>32</v>
          </cell>
          <cell r="BA34">
            <v>98.71</v>
          </cell>
          <cell r="BB34">
            <v>3.88</v>
          </cell>
        </row>
        <row r="35">
          <cell r="AH35">
            <v>33</v>
          </cell>
          <cell r="AI35">
            <v>61.49</v>
          </cell>
          <cell r="AJ35">
            <v>2.31</v>
          </cell>
          <cell r="AK35">
            <v>33</v>
          </cell>
          <cell r="AL35">
            <v>59.44</v>
          </cell>
          <cell r="AM35">
            <v>2.1</v>
          </cell>
          <cell r="AN35">
            <v>33</v>
          </cell>
          <cell r="AO35">
            <v>58.18</v>
          </cell>
          <cell r="AP35">
            <v>2.11</v>
          </cell>
          <cell r="AQ35">
            <v>33</v>
          </cell>
          <cell r="AR35">
            <v>58.63</v>
          </cell>
          <cell r="AS35">
            <v>2.14</v>
          </cell>
          <cell r="AT35">
            <v>33</v>
          </cell>
          <cell r="AU35">
            <v>58.29</v>
          </cell>
          <cell r="AV35">
            <v>2.3</v>
          </cell>
          <cell r="AW35">
            <v>33</v>
          </cell>
          <cell r="AX35">
            <v>57.17</v>
          </cell>
          <cell r="AY35">
            <v>2.59</v>
          </cell>
          <cell r="AZ35">
            <v>33</v>
          </cell>
          <cell r="BA35">
            <v>60.87</v>
          </cell>
          <cell r="BB35">
            <v>2.78</v>
          </cell>
        </row>
        <row r="36">
          <cell r="AH36">
            <v>34</v>
          </cell>
          <cell r="AI36">
            <v>58.85</v>
          </cell>
          <cell r="AJ36">
            <v>2.22</v>
          </cell>
          <cell r="AK36">
            <v>34</v>
          </cell>
          <cell r="AL36">
            <v>57.23</v>
          </cell>
          <cell r="AM36">
            <v>2.26</v>
          </cell>
          <cell r="AN36">
            <v>34</v>
          </cell>
          <cell r="AO36">
            <v>56.47</v>
          </cell>
          <cell r="AP36">
            <v>1.83</v>
          </cell>
          <cell r="AQ36">
            <v>34</v>
          </cell>
          <cell r="AR36">
            <v>56.27</v>
          </cell>
          <cell r="AS36">
            <v>1.72</v>
          </cell>
          <cell r="AT36">
            <v>34</v>
          </cell>
          <cell r="AU36">
            <v>26.16</v>
          </cell>
          <cell r="AV36">
            <v>1.76</v>
          </cell>
          <cell r="AW36">
            <v>34</v>
          </cell>
          <cell r="AX36">
            <v>55.99</v>
          </cell>
          <cell r="AY36">
            <v>2.63</v>
          </cell>
          <cell r="AZ36">
            <v>34</v>
          </cell>
          <cell r="BA36">
            <v>58.99</v>
          </cell>
          <cell r="BB36">
            <v>2.77</v>
          </cell>
        </row>
        <row r="37">
          <cell r="AH37">
            <v>35</v>
          </cell>
          <cell r="AI37">
            <v>39.25</v>
          </cell>
          <cell r="AJ37">
            <v>2.17</v>
          </cell>
          <cell r="AK37">
            <v>35</v>
          </cell>
          <cell r="AL37">
            <v>38.39</v>
          </cell>
          <cell r="AM37">
            <v>2</v>
          </cell>
          <cell r="AN37">
            <v>35</v>
          </cell>
          <cell r="AO37">
            <v>37.09</v>
          </cell>
          <cell r="AP37">
            <v>2.41</v>
          </cell>
          <cell r="AQ37">
            <v>35</v>
          </cell>
          <cell r="AR37">
            <v>37.22</v>
          </cell>
          <cell r="AS37">
            <v>1.31</v>
          </cell>
          <cell r="AT37">
            <v>35</v>
          </cell>
          <cell r="AU37">
            <v>36.91</v>
          </cell>
          <cell r="AV37">
            <v>1.8</v>
          </cell>
          <cell r="AW37">
            <v>35</v>
          </cell>
          <cell r="AX37">
            <v>37.09</v>
          </cell>
          <cell r="AY37">
            <v>1.57</v>
          </cell>
          <cell r="AZ37">
            <v>35</v>
          </cell>
          <cell r="BA37">
            <v>38.26</v>
          </cell>
          <cell r="BB37">
            <v>2.21</v>
          </cell>
        </row>
        <row r="38">
          <cell r="AH38">
            <v>36</v>
          </cell>
          <cell r="AI38">
            <v>23.33</v>
          </cell>
          <cell r="AJ38">
            <v>1.13</v>
          </cell>
          <cell r="AK38">
            <v>36</v>
          </cell>
          <cell r="AL38">
            <v>23.4</v>
          </cell>
          <cell r="AM38">
            <v>1.3</v>
          </cell>
          <cell r="AN38">
            <v>36</v>
          </cell>
          <cell r="AO38">
            <v>22.37</v>
          </cell>
          <cell r="AP38">
            <v>0.94</v>
          </cell>
          <cell r="AQ38">
            <v>36</v>
          </cell>
          <cell r="AR38">
            <v>22.46</v>
          </cell>
          <cell r="AS38">
            <v>0.92</v>
          </cell>
          <cell r="AT38">
            <v>36</v>
          </cell>
          <cell r="AU38">
            <v>22.16</v>
          </cell>
          <cell r="AV38">
            <v>1.01</v>
          </cell>
          <cell r="AW38">
            <v>36</v>
          </cell>
          <cell r="AX38">
            <v>22.15</v>
          </cell>
          <cell r="AY38">
            <v>0.79</v>
          </cell>
          <cell r="AZ38">
            <v>36</v>
          </cell>
          <cell r="BA38">
            <v>23.21</v>
          </cell>
          <cell r="BB38">
            <v>1.01</v>
          </cell>
        </row>
        <row r="39">
          <cell r="AH39">
            <v>37</v>
          </cell>
          <cell r="AI39">
            <v>9.3</v>
          </cell>
          <cell r="AJ39">
            <v>2.02</v>
          </cell>
          <cell r="AK39">
            <v>37</v>
          </cell>
          <cell r="AL39">
            <v>6.93</v>
          </cell>
          <cell r="AM39">
            <v>1.6</v>
          </cell>
          <cell r="AN39">
            <v>37</v>
          </cell>
          <cell r="AO39">
            <v>6.75</v>
          </cell>
          <cell r="AP39">
            <v>1.69</v>
          </cell>
          <cell r="AQ39">
            <v>37</v>
          </cell>
          <cell r="AR39">
            <v>7.71</v>
          </cell>
          <cell r="AS39">
            <v>2.35</v>
          </cell>
          <cell r="AT39">
            <v>37</v>
          </cell>
          <cell r="AU39">
            <v>7.74</v>
          </cell>
          <cell r="AV39">
            <v>1.73</v>
          </cell>
          <cell r="AW39">
            <v>37</v>
          </cell>
          <cell r="AX39">
            <v>6.46</v>
          </cell>
          <cell r="AY39">
            <v>1.81</v>
          </cell>
          <cell r="AZ39">
            <v>37</v>
          </cell>
          <cell r="BA39">
            <v>8.48</v>
          </cell>
          <cell r="BB39">
            <v>1.72</v>
          </cell>
        </row>
        <row r="40">
          <cell r="AH40">
            <v>38</v>
          </cell>
          <cell r="AI40">
            <v>11.83</v>
          </cell>
          <cell r="AJ40">
            <v>3.35</v>
          </cell>
          <cell r="AK40">
            <v>38</v>
          </cell>
          <cell r="AL40">
            <v>8.99</v>
          </cell>
          <cell r="AM40">
            <v>1.4</v>
          </cell>
          <cell r="AN40">
            <v>38</v>
          </cell>
          <cell r="AO40">
            <v>9.22</v>
          </cell>
          <cell r="AP40">
            <v>1.91</v>
          </cell>
          <cell r="AQ40">
            <v>38</v>
          </cell>
          <cell r="AR40">
            <v>9.21</v>
          </cell>
          <cell r="AS40">
            <v>1.71</v>
          </cell>
          <cell r="AT40">
            <v>38</v>
          </cell>
          <cell r="AU40">
            <v>10.44</v>
          </cell>
          <cell r="AV40">
            <v>2.64</v>
          </cell>
          <cell r="AW40">
            <v>38</v>
          </cell>
          <cell r="AX40">
            <v>8.69</v>
          </cell>
          <cell r="AY40">
            <v>1.71</v>
          </cell>
          <cell r="AZ40">
            <v>38</v>
          </cell>
          <cell r="BA40">
            <v>9.72</v>
          </cell>
          <cell r="BB40">
            <v>2.18</v>
          </cell>
        </row>
        <row r="41">
          <cell r="AH41">
            <v>39</v>
          </cell>
          <cell r="AI41">
            <v>4.02</v>
          </cell>
          <cell r="AJ41">
            <v>0.44</v>
          </cell>
          <cell r="AK41">
            <v>39</v>
          </cell>
          <cell r="AL41">
            <v>3.56</v>
          </cell>
          <cell r="AM41">
            <v>0.8</v>
          </cell>
          <cell r="AN41">
            <v>39</v>
          </cell>
          <cell r="AO41">
            <v>3.3</v>
          </cell>
          <cell r="AP41">
            <v>0.49</v>
          </cell>
          <cell r="AQ41">
            <v>39</v>
          </cell>
          <cell r="AR41">
            <v>3.52</v>
          </cell>
          <cell r="AS41">
            <v>0.69</v>
          </cell>
          <cell r="AT41">
            <v>39</v>
          </cell>
          <cell r="AU41">
            <v>3.61</v>
          </cell>
          <cell r="AV41">
            <v>0.56</v>
          </cell>
          <cell r="AW41">
            <v>39</v>
          </cell>
          <cell r="AX41">
            <v>3.12</v>
          </cell>
          <cell r="AY41">
            <v>0.47</v>
          </cell>
          <cell r="AZ41">
            <v>39</v>
          </cell>
          <cell r="BA41">
            <v>3.6</v>
          </cell>
          <cell r="BB41">
            <v>0.49</v>
          </cell>
        </row>
        <row r="42">
          <cell r="AH42">
            <v>40</v>
          </cell>
          <cell r="AI42">
            <v>12.8</v>
          </cell>
          <cell r="AJ42">
            <v>6.2</v>
          </cell>
          <cell r="AK42">
            <v>40</v>
          </cell>
          <cell r="AL42">
            <v>9.57</v>
          </cell>
          <cell r="AM42">
            <v>2.17</v>
          </cell>
          <cell r="AN42">
            <v>40</v>
          </cell>
          <cell r="AO42">
            <v>10.07</v>
          </cell>
          <cell r="AP42">
            <v>2.59</v>
          </cell>
          <cell r="AQ42">
            <v>40</v>
          </cell>
          <cell r="AR42">
            <v>9.31</v>
          </cell>
          <cell r="AS42">
            <v>2.51</v>
          </cell>
          <cell r="AT42">
            <v>40</v>
          </cell>
          <cell r="AU42">
            <v>11.72</v>
          </cell>
          <cell r="AV42">
            <v>2.95</v>
          </cell>
          <cell r="AW42">
            <v>40</v>
          </cell>
          <cell r="AX42">
            <v>8.29</v>
          </cell>
          <cell r="AY42">
            <v>2.14</v>
          </cell>
          <cell r="AZ42">
            <v>40</v>
          </cell>
          <cell r="BA42">
            <v>10.75</v>
          </cell>
          <cell r="BB42">
            <v>2.46</v>
          </cell>
        </row>
        <row r="43">
          <cell r="AH43">
            <v>41</v>
          </cell>
          <cell r="AI43">
            <v>6.27</v>
          </cell>
          <cell r="AJ43">
            <v>1.87</v>
          </cell>
          <cell r="AK43">
            <v>41</v>
          </cell>
          <cell r="AL43">
            <v>5.31</v>
          </cell>
          <cell r="AM43">
            <v>1.27</v>
          </cell>
          <cell r="AN43">
            <v>41</v>
          </cell>
          <cell r="AO43">
            <v>5.16</v>
          </cell>
          <cell r="AP43">
            <v>0.98</v>
          </cell>
          <cell r="AQ43">
            <v>41</v>
          </cell>
          <cell r="AR43">
            <v>4.96</v>
          </cell>
          <cell r="AS43">
            <v>0.88</v>
          </cell>
          <cell r="AT43">
            <v>41</v>
          </cell>
          <cell r="AU43">
            <v>5.78</v>
          </cell>
          <cell r="AV43">
            <v>1.42</v>
          </cell>
          <cell r="AW43">
            <v>41</v>
          </cell>
          <cell r="AX43">
            <v>4.56</v>
          </cell>
          <cell r="AY43">
            <v>0.95</v>
          </cell>
          <cell r="AZ43">
            <v>41</v>
          </cell>
          <cell r="BA43">
            <v>5.38</v>
          </cell>
          <cell r="BB43">
            <v>0.76</v>
          </cell>
        </row>
        <row r="44">
          <cell r="AH44">
            <v>42</v>
          </cell>
          <cell r="AI44">
            <v>13.6</v>
          </cell>
          <cell r="AJ44">
            <v>4.64</v>
          </cell>
          <cell r="AK44">
            <v>42</v>
          </cell>
          <cell r="AL44">
            <v>10.31</v>
          </cell>
          <cell r="AM44">
            <v>3.32</v>
          </cell>
          <cell r="AN44">
            <v>42</v>
          </cell>
          <cell r="AO44">
            <v>10.8</v>
          </cell>
          <cell r="AP44">
            <v>3.86</v>
          </cell>
          <cell r="AQ44">
            <v>42</v>
          </cell>
          <cell r="AR44">
            <v>9.62</v>
          </cell>
          <cell r="AS44">
            <v>2.49</v>
          </cell>
          <cell r="AT44">
            <v>42</v>
          </cell>
          <cell r="AU44">
            <v>12.11</v>
          </cell>
          <cell r="AV44">
            <v>3.61</v>
          </cell>
          <cell r="AW44">
            <v>42</v>
          </cell>
          <cell r="AX44">
            <v>8.14</v>
          </cell>
          <cell r="AY44">
            <v>2.75</v>
          </cell>
          <cell r="AZ44">
            <v>42</v>
          </cell>
          <cell r="BA44">
            <v>10.5</v>
          </cell>
          <cell r="BB44">
            <v>1.38</v>
          </cell>
        </row>
        <row r="45">
          <cell r="AH45">
            <v>43</v>
          </cell>
          <cell r="AI45">
            <v>10.92</v>
          </cell>
          <cell r="AJ45">
            <v>3.2</v>
          </cell>
          <cell r="AK45">
            <v>43</v>
          </cell>
          <cell r="AL45">
            <v>7.57</v>
          </cell>
          <cell r="AM45">
            <v>1.37</v>
          </cell>
          <cell r="AN45">
            <v>43</v>
          </cell>
          <cell r="AO45">
            <v>7.45</v>
          </cell>
          <cell r="AP45">
            <v>1.47</v>
          </cell>
          <cell r="AQ45">
            <v>43</v>
          </cell>
          <cell r="AR45">
            <v>8.56</v>
          </cell>
          <cell r="AS45">
            <v>2.43</v>
          </cell>
          <cell r="AT45">
            <v>43</v>
          </cell>
          <cell r="AU45">
            <v>9.45</v>
          </cell>
          <cell r="AV45">
            <v>2.57</v>
          </cell>
          <cell r="AW45">
            <v>43</v>
          </cell>
          <cell r="AX45">
            <v>6.64</v>
          </cell>
          <cell r="AY45">
            <v>1.37</v>
          </cell>
          <cell r="AZ45">
            <v>43</v>
          </cell>
          <cell r="BA45">
            <v>9.53</v>
          </cell>
          <cell r="BB45">
            <v>1.57</v>
          </cell>
        </row>
        <row r="46">
          <cell r="AH46">
            <v>44</v>
          </cell>
          <cell r="AK46">
            <v>44</v>
          </cell>
          <cell r="AN46">
            <v>44</v>
          </cell>
          <cell r="AQ46">
            <v>44</v>
          </cell>
          <cell r="AT46">
            <v>44</v>
          </cell>
          <cell r="AW46">
            <v>44</v>
          </cell>
          <cell r="AZ46">
            <v>44</v>
          </cell>
        </row>
        <row r="47">
          <cell r="AH47">
            <v>45</v>
          </cell>
          <cell r="AI47">
            <v>5.89</v>
          </cell>
          <cell r="AJ47">
            <v>1.43</v>
          </cell>
          <cell r="AK47">
            <v>45</v>
          </cell>
          <cell r="AL47">
            <v>4.56</v>
          </cell>
          <cell r="AM47">
            <v>1.05</v>
          </cell>
          <cell r="AN47">
            <v>45</v>
          </cell>
          <cell r="AO47">
            <v>4.2</v>
          </cell>
          <cell r="AP47">
            <v>0.76</v>
          </cell>
          <cell r="AQ47">
            <v>45</v>
          </cell>
          <cell r="AR47">
            <v>4.84</v>
          </cell>
          <cell r="AS47">
            <v>1.25</v>
          </cell>
          <cell r="AT47">
            <v>45</v>
          </cell>
          <cell r="AU47">
            <v>5.08</v>
          </cell>
          <cell r="AV47">
            <v>1.52</v>
          </cell>
          <cell r="AW47">
            <v>45</v>
          </cell>
          <cell r="AX47">
            <v>4.05</v>
          </cell>
          <cell r="AY47">
            <v>1.04</v>
          </cell>
          <cell r="AZ47">
            <v>45</v>
          </cell>
          <cell r="BA47">
            <v>5.31</v>
          </cell>
          <cell r="BB47">
            <v>1.13</v>
          </cell>
        </row>
        <row r="48">
          <cell r="AH48">
            <v>46</v>
          </cell>
          <cell r="AK48">
            <v>46</v>
          </cell>
          <cell r="AN48">
            <v>46</v>
          </cell>
          <cell r="AQ48">
            <v>46</v>
          </cell>
          <cell r="AT48">
            <v>46</v>
          </cell>
          <cell r="AW48">
            <v>46</v>
          </cell>
          <cell r="AZ48">
            <v>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3"/>
  <dimension ref="A1:AF115"/>
  <sheetViews>
    <sheetView tabSelected="1" view="pageBreakPreview" zoomScaleNormal="75" zoomScaleSheetLayoutView="100" workbookViewId="0" topLeftCell="A1">
      <selection activeCell="D7" sqref="D7"/>
    </sheetView>
  </sheetViews>
  <sheetFormatPr defaultColWidth="11.421875" defaultRowHeight="12.75"/>
  <cols>
    <col min="1" max="1" width="25.28125" style="0" customWidth="1"/>
    <col min="2" max="2" width="13.7109375" style="0" customWidth="1"/>
    <col min="3" max="3" width="8.8515625" style="0" customWidth="1"/>
    <col min="4" max="4" width="7.7109375" style="0" customWidth="1"/>
    <col min="5" max="5" width="9.7109375" style="0" customWidth="1"/>
    <col min="6" max="6" width="8.28125" style="0" customWidth="1"/>
    <col min="7" max="7" width="8.8515625" style="0" customWidth="1"/>
    <col min="8" max="9" width="10.7109375" style="0" customWidth="1"/>
    <col min="10" max="10" width="4.00390625" style="0" customWidth="1"/>
    <col min="11" max="12" width="18.28125" style="0" customWidth="1"/>
    <col min="17" max="17" width="13.28125" style="0" bestFit="1" customWidth="1"/>
    <col min="21" max="21" width="2.7109375" style="0" customWidth="1"/>
    <col min="22" max="25" width="9.57421875" style="0" customWidth="1"/>
    <col min="26" max="26" width="29.8515625" style="0" customWidth="1"/>
    <col min="27" max="29" width="9.57421875" style="0" customWidth="1"/>
    <col min="30" max="30" width="4.28125" style="0" customWidth="1"/>
    <col min="31" max="31" width="29.421875" style="0" customWidth="1"/>
    <col min="32" max="32" width="30.421875" style="0" customWidth="1"/>
  </cols>
  <sheetData>
    <row r="1" spans="1:32" ht="13.5" thickBot="1">
      <c r="A1" s="206"/>
      <c r="B1" s="206" t="s">
        <v>373</v>
      </c>
      <c r="C1" s="515" t="s">
        <v>352</v>
      </c>
      <c r="D1" s="516"/>
      <c r="E1" s="358" t="s">
        <v>374</v>
      </c>
      <c r="F1" s="208"/>
      <c r="G1" s="519" t="s">
        <v>253</v>
      </c>
      <c r="H1" s="520"/>
      <c r="I1" s="211"/>
      <c r="J1" s="9"/>
      <c r="K1" s="9"/>
      <c r="L1" s="9"/>
      <c r="M1" s="9"/>
      <c r="N1" s="9"/>
      <c r="O1" s="9"/>
      <c r="P1" s="435" t="s">
        <v>262</v>
      </c>
      <c r="Q1" s="436" t="s">
        <v>254</v>
      </c>
      <c r="R1" s="436" t="s">
        <v>255</v>
      </c>
      <c r="S1" s="437" t="s">
        <v>256</v>
      </c>
      <c r="U1" s="224"/>
      <c r="V1" s="494" t="s">
        <v>288</v>
      </c>
      <c r="W1" s="495"/>
      <c r="X1" s="495"/>
      <c r="Y1" s="496"/>
      <c r="Z1" s="494" t="s">
        <v>289</v>
      </c>
      <c r="AA1" s="495"/>
      <c r="AB1" s="495"/>
      <c r="AC1" s="496"/>
      <c r="AE1" s="514" t="s">
        <v>324</v>
      </c>
      <c r="AF1" s="514"/>
    </row>
    <row r="2" spans="1:32" ht="13.5" thickTop="1">
      <c r="A2" s="171" t="s">
        <v>35</v>
      </c>
      <c r="B2" s="517"/>
      <c r="C2" s="518"/>
      <c r="D2" s="499" t="s">
        <v>294</v>
      </c>
      <c r="E2" s="500"/>
      <c r="F2" s="209"/>
      <c r="G2" s="501" t="s">
        <v>46</v>
      </c>
      <c r="H2" s="502"/>
      <c r="I2" s="211"/>
      <c r="J2" s="9"/>
      <c r="K2" s="521" t="s">
        <v>277</v>
      </c>
      <c r="L2" s="522"/>
      <c r="M2" s="9"/>
      <c r="N2" s="9"/>
      <c r="O2" s="9"/>
      <c r="P2" s="438" t="s">
        <v>257</v>
      </c>
      <c r="Q2" s="423" t="s">
        <v>280</v>
      </c>
      <c r="R2" s="439">
        <v>1.3</v>
      </c>
      <c r="S2" s="440">
        <v>1.3</v>
      </c>
      <c r="U2" s="224"/>
      <c r="V2" s="492" t="s">
        <v>290</v>
      </c>
      <c r="W2" s="493"/>
      <c r="X2" s="489" t="s">
        <v>291</v>
      </c>
      <c r="Y2" s="498"/>
      <c r="Z2" s="492" t="s">
        <v>290</v>
      </c>
      <c r="AA2" s="493"/>
      <c r="AB2" s="489" t="s">
        <v>291</v>
      </c>
      <c r="AC2" s="498"/>
      <c r="AE2" s="197" t="s">
        <v>329</v>
      </c>
      <c r="AF2" s="197" t="s">
        <v>355</v>
      </c>
    </row>
    <row r="3" spans="1:32" ht="13.5" thickBot="1">
      <c r="A3" s="171" t="s">
        <v>36</v>
      </c>
      <c r="B3" s="210"/>
      <c r="C3" s="512" t="s">
        <v>125</v>
      </c>
      <c r="D3" s="513"/>
      <c r="E3" s="526"/>
      <c r="F3" s="527"/>
      <c r="G3" s="519" t="s">
        <v>40</v>
      </c>
      <c r="H3" s="520"/>
      <c r="I3" s="207">
        <f>(B3-E3)/365</f>
        <v>0</v>
      </c>
      <c r="J3" s="9"/>
      <c r="K3" s="523"/>
      <c r="L3" s="524"/>
      <c r="M3" s="9"/>
      <c r="N3" s="9"/>
      <c r="O3" s="9"/>
      <c r="P3" s="441" t="s">
        <v>258</v>
      </c>
      <c r="Q3" s="442" t="s">
        <v>281</v>
      </c>
      <c r="R3" s="443">
        <v>1.5</v>
      </c>
      <c r="S3" s="444">
        <v>1.6</v>
      </c>
      <c r="V3" s="201" t="s">
        <v>301</v>
      </c>
      <c r="W3" s="295" t="s">
        <v>302</v>
      </c>
      <c r="X3" s="295" t="s">
        <v>301</v>
      </c>
      <c r="Y3" s="296" t="s">
        <v>302</v>
      </c>
      <c r="Z3" s="201" t="s">
        <v>301</v>
      </c>
      <c r="AA3" s="295" t="s">
        <v>302</v>
      </c>
      <c r="AB3" s="295" t="s">
        <v>301</v>
      </c>
      <c r="AC3" s="296" t="s">
        <v>302</v>
      </c>
      <c r="AE3" s="385" t="s">
        <v>441</v>
      </c>
      <c r="AF3" s="385" t="s">
        <v>441</v>
      </c>
    </row>
    <row r="4" spans="1:32" ht="13.5" thickBot="1">
      <c r="A4" s="334" t="s">
        <v>0</v>
      </c>
      <c r="B4" s="335" t="s">
        <v>1</v>
      </c>
      <c r="C4" s="336" t="s">
        <v>2</v>
      </c>
      <c r="D4" s="336" t="s">
        <v>3</v>
      </c>
      <c r="E4" s="336" t="s">
        <v>6</v>
      </c>
      <c r="F4" s="337" t="s">
        <v>7</v>
      </c>
      <c r="G4" s="338" t="s">
        <v>162</v>
      </c>
      <c r="H4" s="336" t="s">
        <v>4</v>
      </c>
      <c r="I4" s="339" t="s">
        <v>5</v>
      </c>
      <c r="J4" s="9"/>
      <c r="K4" s="523"/>
      <c r="L4" s="524"/>
      <c r="M4" s="9"/>
      <c r="N4" s="9"/>
      <c r="O4" s="9"/>
      <c r="P4" s="441" t="s">
        <v>261</v>
      </c>
      <c r="Q4" s="442" t="s">
        <v>282</v>
      </c>
      <c r="R4" s="443">
        <v>1.6</v>
      </c>
      <c r="S4" s="444">
        <v>1.7</v>
      </c>
      <c r="U4" s="297">
        <v>1</v>
      </c>
      <c r="V4" s="292">
        <v>17.9</v>
      </c>
      <c r="W4" s="293"/>
      <c r="X4" s="293">
        <v>26.8</v>
      </c>
      <c r="Y4" s="199"/>
      <c r="Z4" s="292">
        <v>17.9</v>
      </c>
      <c r="AA4" s="293"/>
      <c r="AB4" s="293">
        <v>26.8</v>
      </c>
      <c r="AC4" s="199"/>
      <c r="AE4" s="385" t="s">
        <v>432</v>
      </c>
      <c r="AF4" s="197" t="s">
        <v>432</v>
      </c>
    </row>
    <row r="5" spans="1:32" ht="13.5" thickBot="1">
      <c r="A5" s="340" t="s">
        <v>31</v>
      </c>
      <c r="B5" s="341"/>
      <c r="C5" s="342"/>
      <c r="D5" s="342"/>
      <c r="E5" s="342"/>
      <c r="F5" s="343"/>
      <c r="G5" s="344"/>
      <c r="H5" s="342"/>
      <c r="I5" s="345"/>
      <c r="J5" s="9"/>
      <c r="K5" s="528" t="s">
        <v>278</v>
      </c>
      <c r="L5" s="529"/>
      <c r="M5" s="9"/>
      <c r="N5" s="9"/>
      <c r="O5" s="9"/>
      <c r="P5" s="441" t="s">
        <v>259</v>
      </c>
      <c r="Q5" s="442" t="s">
        <v>283</v>
      </c>
      <c r="R5" s="443">
        <v>1.9</v>
      </c>
      <c r="S5" s="444">
        <v>2.1</v>
      </c>
      <c r="U5" s="298">
        <v>2</v>
      </c>
      <c r="V5" s="287">
        <v>18</v>
      </c>
      <c r="W5" s="286">
        <v>20</v>
      </c>
      <c r="X5" s="286">
        <v>26.9</v>
      </c>
      <c r="Y5" s="288">
        <v>29.5</v>
      </c>
      <c r="Z5" s="287">
        <v>18</v>
      </c>
      <c r="AA5" s="286">
        <v>20</v>
      </c>
      <c r="AB5" s="286">
        <v>26.9</v>
      </c>
      <c r="AC5" s="288">
        <v>29.5</v>
      </c>
      <c r="AE5" s="366" t="s">
        <v>432</v>
      </c>
      <c r="AF5" s="197" t="s">
        <v>432</v>
      </c>
    </row>
    <row r="6" spans="1:32" ht="12.75">
      <c r="A6" s="346" t="s">
        <v>26</v>
      </c>
      <c r="B6" s="459"/>
      <c r="C6" s="175"/>
      <c r="D6" s="175"/>
      <c r="E6" s="175"/>
      <c r="F6" s="176"/>
      <c r="G6" s="83" t="e">
        <f>ROUND(MEDIAN(B6:F6),3)</f>
        <v>#NUM!</v>
      </c>
      <c r="H6" s="84">
        <f>IF(C6=0,0,ROUND(STDEVA(B6:F6),3))</f>
        <v>0</v>
      </c>
      <c r="I6" s="347">
        <f>IF(C6=0,0,ROUND((H6/G6)*100,3))</f>
        <v>0</v>
      </c>
      <c r="J6" s="9"/>
      <c r="K6" s="530"/>
      <c r="L6" s="531"/>
      <c r="M6" s="9"/>
      <c r="N6" s="9"/>
      <c r="O6" s="9"/>
      <c r="P6" s="441" t="s">
        <v>260</v>
      </c>
      <c r="Q6" s="442" t="s">
        <v>284</v>
      </c>
      <c r="R6" s="443">
        <v>2.2</v>
      </c>
      <c r="S6" s="444">
        <v>2.4</v>
      </c>
      <c r="U6" s="298">
        <v>3</v>
      </c>
      <c r="V6" s="287">
        <v>20.1</v>
      </c>
      <c r="W6" s="286">
        <v>26.8</v>
      </c>
      <c r="X6" s="286">
        <v>29.6</v>
      </c>
      <c r="Y6" s="288">
        <v>36.4</v>
      </c>
      <c r="Z6" s="287">
        <v>20.1</v>
      </c>
      <c r="AA6" s="286">
        <v>26.8</v>
      </c>
      <c r="AB6" s="286">
        <v>29.6</v>
      </c>
      <c r="AC6" s="288">
        <v>36.4</v>
      </c>
      <c r="AE6" s="197" t="s">
        <v>328</v>
      </c>
      <c r="AF6" s="197" t="s">
        <v>328</v>
      </c>
    </row>
    <row r="7" spans="1:32" ht="13.5" thickBot="1">
      <c r="A7" s="348" t="s">
        <v>27</v>
      </c>
      <c r="B7" s="460"/>
      <c r="C7" s="177"/>
      <c r="D7" s="177"/>
      <c r="E7" s="177"/>
      <c r="F7" s="178"/>
      <c r="G7" s="83" t="e">
        <f>ROUND(MEDIAN(B7:F7),3)</f>
        <v>#NUM!</v>
      </c>
      <c r="H7" s="84">
        <f>IF(C7=0,0,ROUND(STDEVA(B7:F7),3))</f>
        <v>0</v>
      </c>
      <c r="I7" s="347">
        <f>IF(C7=0,0,ROUND((H7/G7)*100,3))</f>
        <v>0</v>
      </c>
      <c r="J7" s="9"/>
      <c r="K7" s="532"/>
      <c r="L7" s="533"/>
      <c r="M7" s="9"/>
      <c r="N7" s="9"/>
      <c r="O7" s="9"/>
      <c r="P7" s="445" t="s">
        <v>263</v>
      </c>
      <c r="Q7" s="446" t="s">
        <v>285</v>
      </c>
      <c r="R7" s="447">
        <v>0</v>
      </c>
      <c r="S7" s="448">
        <v>0</v>
      </c>
      <c r="U7" s="298">
        <v>4</v>
      </c>
      <c r="V7" s="287">
        <v>26.9</v>
      </c>
      <c r="W7" s="286">
        <v>29.5</v>
      </c>
      <c r="X7" s="286">
        <v>36.5</v>
      </c>
      <c r="Y7" s="288">
        <v>38.5</v>
      </c>
      <c r="Z7" s="287">
        <v>26.9</v>
      </c>
      <c r="AA7" s="286">
        <v>29.5</v>
      </c>
      <c r="AB7" s="286">
        <v>36.5</v>
      </c>
      <c r="AC7" s="288">
        <v>38.5</v>
      </c>
      <c r="AE7" s="197" t="s">
        <v>331</v>
      </c>
      <c r="AF7" s="197" t="s">
        <v>331</v>
      </c>
    </row>
    <row r="8" spans="1:32" ht="13.5" thickBot="1">
      <c r="A8" s="349" t="s">
        <v>28</v>
      </c>
      <c r="B8" s="461"/>
      <c r="C8" s="321"/>
      <c r="D8" s="321"/>
      <c r="E8" s="321"/>
      <c r="F8" s="322"/>
      <c r="G8" s="323" t="e">
        <f>ROUND(MEDIAN(B8:F8),3)</f>
        <v>#NUM!</v>
      </c>
      <c r="H8" s="324">
        <f>IF(C8=0,0,ROUND(STDEVA(B8:F8),3))</f>
        <v>0</v>
      </c>
      <c r="I8" s="350">
        <f>IF(C8=0,0,ROUND((H8/G8)*100,3))</f>
        <v>0</v>
      </c>
      <c r="J8" s="9"/>
      <c r="K8" s="534" t="s">
        <v>318</v>
      </c>
      <c r="L8" s="535"/>
      <c r="M8" s="9"/>
      <c r="N8" s="9"/>
      <c r="O8" s="9"/>
      <c r="P8" s="9"/>
      <c r="Q8" s="9"/>
      <c r="R8" s="9"/>
      <c r="S8" s="9"/>
      <c r="U8" s="299">
        <v>5</v>
      </c>
      <c r="V8" s="289">
        <v>34.1</v>
      </c>
      <c r="W8" s="290"/>
      <c r="X8" s="290">
        <v>38.6</v>
      </c>
      <c r="Y8" s="200"/>
      <c r="Z8" s="289">
        <v>34.1</v>
      </c>
      <c r="AA8" s="290"/>
      <c r="AB8" s="290">
        <v>38.6</v>
      </c>
      <c r="AC8" s="200"/>
      <c r="AE8" s="197" t="s">
        <v>333</v>
      </c>
      <c r="AF8" s="197" t="s">
        <v>356</v>
      </c>
    </row>
    <row r="9" spans="1:32" ht="13.5" thickBot="1">
      <c r="A9" s="325" t="s">
        <v>32</v>
      </c>
      <c r="B9" s="462"/>
      <c r="C9" s="326"/>
      <c r="D9" s="326"/>
      <c r="E9" s="326"/>
      <c r="F9" s="327"/>
      <c r="G9" s="328"/>
      <c r="H9" s="329"/>
      <c r="I9" s="330"/>
      <c r="J9" s="9"/>
      <c r="K9" s="534"/>
      <c r="L9" s="535"/>
      <c r="M9" s="9"/>
      <c r="N9" s="9"/>
      <c r="O9" s="9"/>
      <c r="P9" s="9"/>
      <c r="Q9" s="9"/>
      <c r="R9" s="9"/>
      <c r="S9" s="9"/>
      <c r="AE9" s="197" t="s">
        <v>335</v>
      </c>
      <c r="AF9" s="197" t="s">
        <v>357</v>
      </c>
    </row>
    <row r="10" spans="1:32" ht="12.75">
      <c r="A10" s="351" t="s">
        <v>8</v>
      </c>
      <c r="B10" s="463"/>
      <c r="C10" s="179"/>
      <c r="D10" s="179"/>
      <c r="E10" s="179"/>
      <c r="F10" s="180"/>
      <c r="G10" s="85" t="e">
        <f aca="true" t="shared" si="0" ref="G10:G15">ROUND(MEDIAN(B10:F10),3)</f>
        <v>#NUM!</v>
      </c>
      <c r="H10" s="86">
        <f aca="true" t="shared" si="1" ref="H10:H15">IF(C10=0,0,ROUND(STDEVA(B10:F10),3))</f>
        <v>0</v>
      </c>
      <c r="I10" s="352">
        <f aca="true" t="shared" si="2" ref="I10:I15">IF(C10=0,0,ROUND((H10/G10)*100,3))</f>
        <v>0</v>
      </c>
      <c r="J10" s="9"/>
      <c r="K10" s="534"/>
      <c r="L10" s="535"/>
      <c r="M10" s="9"/>
      <c r="N10" s="9"/>
      <c r="O10" s="9"/>
      <c r="P10" s="9"/>
      <c r="Q10" s="9"/>
      <c r="R10" s="9"/>
      <c r="S10" s="9"/>
      <c r="V10" s="509" t="s">
        <v>323</v>
      </c>
      <c r="W10" s="510"/>
      <c r="X10" s="510"/>
      <c r="Y10" s="510"/>
      <c r="Z10" s="510"/>
      <c r="AA10" s="510"/>
      <c r="AB10" s="510"/>
      <c r="AC10" s="511"/>
      <c r="AE10" s="197" t="s">
        <v>337</v>
      </c>
      <c r="AF10" s="197" t="s">
        <v>358</v>
      </c>
    </row>
    <row r="11" spans="1:32" ht="12.75">
      <c r="A11" s="348" t="s">
        <v>9</v>
      </c>
      <c r="B11" s="460"/>
      <c r="C11" s="177"/>
      <c r="D11" s="177"/>
      <c r="E11" s="177"/>
      <c r="F11" s="178"/>
      <c r="G11" s="83" t="e">
        <f t="shared" si="0"/>
        <v>#NUM!</v>
      </c>
      <c r="H11" s="84">
        <f t="shared" si="1"/>
        <v>0</v>
      </c>
      <c r="I11" s="347">
        <f t="shared" si="2"/>
        <v>0</v>
      </c>
      <c r="J11" s="9"/>
      <c r="K11" s="534"/>
      <c r="L11" s="535"/>
      <c r="M11" s="9"/>
      <c r="N11" s="9"/>
      <c r="O11" s="9"/>
      <c r="P11" s="9"/>
      <c r="Q11" s="9"/>
      <c r="R11" s="9"/>
      <c r="S11" s="9"/>
      <c r="V11" s="503" t="s">
        <v>193</v>
      </c>
      <c r="W11" s="504"/>
      <c r="X11" s="504"/>
      <c r="Y11" s="505"/>
      <c r="Z11" s="506" t="s">
        <v>187</v>
      </c>
      <c r="AA11" s="507"/>
      <c r="AB11" s="507"/>
      <c r="AC11" s="508"/>
      <c r="AE11" s="197" t="s">
        <v>339</v>
      </c>
      <c r="AF11" s="197" t="s">
        <v>359</v>
      </c>
    </row>
    <row r="12" spans="1:32" ht="12.75">
      <c r="A12" s="348" t="s">
        <v>10</v>
      </c>
      <c r="B12" s="460"/>
      <c r="C12" s="177"/>
      <c r="D12" s="177"/>
      <c r="E12" s="177"/>
      <c r="F12" s="178"/>
      <c r="G12" s="83" t="e">
        <f t="shared" si="0"/>
        <v>#NUM!</v>
      </c>
      <c r="H12" s="84">
        <f t="shared" si="1"/>
        <v>0</v>
      </c>
      <c r="I12" s="347">
        <f t="shared" si="2"/>
        <v>0</v>
      </c>
      <c r="J12" s="9"/>
      <c r="K12" s="534"/>
      <c r="L12" s="535"/>
      <c r="M12" s="9"/>
      <c r="N12" s="9"/>
      <c r="O12" s="9"/>
      <c r="P12" s="9"/>
      <c r="Q12" s="9"/>
      <c r="R12" s="9"/>
      <c r="S12" s="9"/>
      <c r="V12" s="359" t="s">
        <v>324</v>
      </c>
      <c r="W12" s="360" t="s">
        <v>325</v>
      </c>
      <c r="X12" s="361" t="s">
        <v>326</v>
      </c>
      <c r="Y12" s="362" t="s">
        <v>327</v>
      </c>
      <c r="Z12" s="359" t="s">
        <v>324</v>
      </c>
      <c r="AA12" s="360" t="s">
        <v>325</v>
      </c>
      <c r="AB12" s="361" t="s">
        <v>326</v>
      </c>
      <c r="AC12" s="362" t="s">
        <v>327</v>
      </c>
      <c r="AE12" s="366" t="s">
        <v>332</v>
      </c>
      <c r="AF12" s="366" t="s">
        <v>360</v>
      </c>
    </row>
    <row r="13" spans="1:32" ht="12.75">
      <c r="A13" s="348" t="s">
        <v>11</v>
      </c>
      <c r="B13" s="460"/>
      <c r="C13" s="177"/>
      <c r="D13" s="177"/>
      <c r="E13" s="177"/>
      <c r="F13" s="178"/>
      <c r="G13" s="83" t="e">
        <f t="shared" si="0"/>
        <v>#NUM!</v>
      </c>
      <c r="H13" s="84">
        <f t="shared" si="1"/>
        <v>0</v>
      </c>
      <c r="I13" s="347">
        <f t="shared" si="2"/>
        <v>0</v>
      </c>
      <c r="J13" s="9"/>
      <c r="K13" s="534"/>
      <c r="L13" s="535"/>
      <c r="M13" s="9"/>
      <c r="N13" s="9"/>
      <c r="O13" s="9"/>
      <c r="P13" s="9"/>
      <c r="Q13" s="9"/>
      <c r="R13" s="9"/>
      <c r="S13" s="9"/>
      <c r="V13" s="359" t="s">
        <v>452</v>
      </c>
      <c r="W13" s="360">
        <v>2.9</v>
      </c>
      <c r="X13" s="361">
        <v>4.5</v>
      </c>
      <c r="Y13" s="362">
        <v>2.3</v>
      </c>
      <c r="Z13" s="359" t="s">
        <v>329</v>
      </c>
      <c r="AA13" s="360">
        <v>2.6</v>
      </c>
      <c r="AB13" s="361">
        <v>5.5</v>
      </c>
      <c r="AC13" s="362">
        <v>1.9</v>
      </c>
      <c r="AE13" s="197" t="s">
        <v>334</v>
      </c>
      <c r="AF13" s="197" t="s">
        <v>361</v>
      </c>
    </row>
    <row r="14" spans="1:32" ht="13.5" thickBot="1">
      <c r="A14" s="348" t="s">
        <v>12</v>
      </c>
      <c r="B14" s="460"/>
      <c r="C14" s="177"/>
      <c r="D14" s="177"/>
      <c r="E14" s="177"/>
      <c r="F14" s="178"/>
      <c r="G14" s="83" t="e">
        <f t="shared" si="0"/>
        <v>#NUM!</v>
      </c>
      <c r="H14" s="84">
        <f t="shared" si="1"/>
        <v>0</v>
      </c>
      <c r="I14" s="347">
        <f t="shared" si="2"/>
        <v>0</v>
      </c>
      <c r="J14" s="9"/>
      <c r="K14" s="536"/>
      <c r="L14" s="537"/>
      <c r="M14" s="9"/>
      <c r="N14" s="9"/>
      <c r="O14" s="9"/>
      <c r="P14" s="9"/>
      <c r="Q14" s="9"/>
      <c r="R14" s="9"/>
      <c r="S14" s="9"/>
      <c r="V14" s="471" t="s">
        <v>432</v>
      </c>
      <c r="W14" s="363">
        <v>3.7</v>
      </c>
      <c r="X14" s="364">
        <v>4</v>
      </c>
      <c r="Y14" s="365">
        <v>2.9</v>
      </c>
      <c r="Z14" s="370" t="s">
        <v>441</v>
      </c>
      <c r="AA14" s="371">
        <v>1.8</v>
      </c>
      <c r="AB14" s="372">
        <v>4.1</v>
      </c>
      <c r="AC14" s="373">
        <v>3.9</v>
      </c>
      <c r="AE14" s="197" t="s">
        <v>447</v>
      </c>
      <c r="AF14" s="197" t="s">
        <v>447</v>
      </c>
    </row>
    <row r="15" spans="1:32" ht="13.5" thickBot="1">
      <c r="A15" s="349" t="s">
        <v>13</v>
      </c>
      <c r="B15" s="461"/>
      <c r="C15" s="321"/>
      <c r="D15" s="321"/>
      <c r="E15" s="321"/>
      <c r="F15" s="322"/>
      <c r="G15" s="323" t="e">
        <f t="shared" si="0"/>
        <v>#NUM!</v>
      </c>
      <c r="H15" s="324">
        <f t="shared" si="1"/>
        <v>0</v>
      </c>
      <c r="I15" s="350">
        <f t="shared" si="2"/>
        <v>0</v>
      </c>
      <c r="J15" s="9"/>
      <c r="K15" s="9"/>
      <c r="L15" s="9"/>
      <c r="M15" s="9"/>
      <c r="N15" s="9"/>
      <c r="O15" s="9"/>
      <c r="P15" s="9"/>
      <c r="Q15" s="9"/>
      <c r="R15" s="9"/>
      <c r="S15" s="9"/>
      <c r="V15" s="366" t="s">
        <v>328</v>
      </c>
      <c r="W15" s="367">
        <v>4.1</v>
      </c>
      <c r="X15" s="368">
        <v>4.4</v>
      </c>
      <c r="Y15" s="369">
        <v>2.5</v>
      </c>
      <c r="Z15" s="370" t="s">
        <v>432</v>
      </c>
      <c r="AA15" s="371">
        <v>2.1</v>
      </c>
      <c r="AB15" s="372">
        <v>4.5</v>
      </c>
      <c r="AC15" s="373">
        <v>3.5</v>
      </c>
      <c r="AE15" s="385" t="s">
        <v>431</v>
      </c>
      <c r="AF15" s="385" t="s">
        <v>330</v>
      </c>
    </row>
    <row r="16" spans="1:32" ht="13.5" thickBot="1">
      <c r="A16" s="325" t="s">
        <v>33</v>
      </c>
      <c r="B16" s="462"/>
      <c r="C16" s="326"/>
      <c r="D16" s="326"/>
      <c r="E16" s="326"/>
      <c r="F16" s="327"/>
      <c r="G16" s="328"/>
      <c r="H16" s="329"/>
      <c r="I16" s="330"/>
      <c r="J16" s="9"/>
      <c r="K16" s="525" t="s">
        <v>316</v>
      </c>
      <c r="L16" s="525"/>
      <c r="M16" s="9"/>
      <c r="N16" s="9"/>
      <c r="O16" s="9"/>
      <c r="P16" s="9"/>
      <c r="Q16" s="9"/>
      <c r="R16" s="9"/>
      <c r="S16" s="9"/>
      <c r="V16" s="366" t="s">
        <v>331</v>
      </c>
      <c r="W16" s="367">
        <v>4.9</v>
      </c>
      <c r="X16" s="368">
        <v>4.4</v>
      </c>
      <c r="Y16" s="369">
        <v>2</v>
      </c>
      <c r="Z16" s="366" t="s">
        <v>333</v>
      </c>
      <c r="AA16" s="310">
        <v>1.9</v>
      </c>
      <c r="AB16" s="307">
        <v>5.3</v>
      </c>
      <c r="AC16" s="374">
        <v>2.3</v>
      </c>
      <c r="AE16" s="385" t="s">
        <v>438</v>
      </c>
      <c r="AF16" s="385" t="s">
        <v>438</v>
      </c>
    </row>
    <row r="17" spans="1:32" ht="12.75">
      <c r="A17" s="351" t="s">
        <v>14</v>
      </c>
      <c r="B17" s="463"/>
      <c r="C17" s="179"/>
      <c r="D17" s="179"/>
      <c r="E17" s="179"/>
      <c r="F17" s="180"/>
      <c r="G17" s="85" t="e">
        <f aca="true" t="shared" si="3" ref="G17:G26">ROUND(MEDIAN(B17:F17),3)</f>
        <v>#NUM!</v>
      </c>
      <c r="H17" s="86">
        <f aca="true" t="shared" si="4" ref="H17:H26">IF(C17=0,0,ROUND(STDEVA(B17:F17),3))</f>
        <v>0</v>
      </c>
      <c r="I17" s="352">
        <f aca="true" t="shared" si="5" ref="I17:I26">IF(C17=0,0,ROUND((H17/G17)*100,3))</f>
        <v>0</v>
      </c>
      <c r="J17" s="9"/>
      <c r="K17" s="9"/>
      <c r="L17" s="318" t="s">
        <v>414</v>
      </c>
      <c r="M17" s="9"/>
      <c r="N17" s="9"/>
      <c r="O17" s="9"/>
      <c r="P17" s="9"/>
      <c r="Q17" s="9"/>
      <c r="R17" s="9"/>
      <c r="S17" s="9"/>
      <c r="V17" s="366" t="s">
        <v>332</v>
      </c>
      <c r="W17" s="310">
        <v>2.5</v>
      </c>
      <c r="X17" s="307">
        <v>3.7</v>
      </c>
      <c r="Y17" s="374">
        <v>3.1</v>
      </c>
      <c r="Z17" s="366" t="s">
        <v>335</v>
      </c>
      <c r="AA17" s="310">
        <v>2</v>
      </c>
      <c r="AB17" s="307">
        <v>5.3</v>
      </c>
      <c r="AC17" s="374">
        <v>2.1</v>
      </c>
      <c r="AE17" s="385" t="s">
        <v>440</v>
      </c>
      <c r="AF17" s="385" t="s">
        <v>440</v>
      </c>
    </row>
    <row r="18" spans="1:32" ht="12.75">
      <c r="A18" s="348" t="s">
        <v>15</v>
      </c>
      <c r="B18" s="460"/>
      <c r="C18" s="177"/>
      <c r="D18" s="177"/>
      <c r="E18" s="177"/>
      <c r="F18" s="178"/>
      <c r="G18" s="83" t="e">
        <f t="shared" si="3"/>
        <v>#NUM!</v>
      </c>
      <c r="H18" s="84">
        <f t="shared" si="4"/>
        <v>0</v>
      </c>
      <c r="I18" s="347">
        <f t="shared" si="5"/>
        <v>0</v>
      </c>
      <c r="J18" s="9"/>
      <c r="K18" s="9"/>
      <c r="L18" s="9"/>
      <c r="M18" s="9"/>
      <c r="N18" s="9"/>
      <c r="O18" s="9"/>
      <c r="P18" s="9"/>
      <c r="Q18" s="9"/>
      <c r="R18" s="9"/>
      <c r="S18" s="9"/>
      <c r="V18" s="366" t="s">
        <v>334</v>
      </c>
      <c r="W18" s="310">
        <v>2.6</v>
      </c>
      <c r="X18" s="307">
        <v>3.5</v>
      </c>
      <c r="Y18" s="374">
        <v>3.6</v>
      </c>
      <c r="Z18" s="366" t="s">
        <v>337</v>
      </c>
      <c r="AA18" s="310">
        <v>2.2</v>
      </c>
      <c r="AB18" s="307">
        <v>5.5</v>
      </c>
      <c r="AC18" s="374">
        <v>1.8</v>
      </c>
      <c r="AE18" s="197" t="s">
        <v>342</v>
      </c>
      <c r="AF18" s="197" t="s">
        <v>342</v>
      </c>
    </row>
    <row r="19" spans="1:32" ht="12.75">
      <c r="A19" s="353" t="s">
        <v>16</v>
      </c>
      <c r="B19" s="464"/>
      <c r="C19" s="181"/>
      <c r="D19" s="181"/>
      <c r="E19" s="181"/>
      <c r="F19" s="182"/>
      <c r="G19" s="83" t="e">
        <f t="shared" si="3"/>
        <v>#NUM!</v>
      </c>
      <c r="H19" s="84">
        <f t="shared" si="4"/>
        <v>0</v>
      </c>
      <c r="I19" s="347">
        <f t="shared" si="5"/>
        <v>0</v>
      </c>
      <c r="J19" s="9"/>
      <c r="K19" s="525" t="s">
        <v>317</v>
      </c>
      <c r="L19" s="525"/>
      <c r="M19" s="9"/>
      <c r="N19" s="9"/>
      <c r="O19" s="9"/>
      <c r="P19" s="9"/>
      <c r="Q19" s="9"/>
      <c r="R19" s="9"/>
      <c r="S19" s="9"/>
      <c r="V19" s="366" t="s">
        <v>336</v>
      </c>
      <c r="W19" s="310">
        <v>2.9</v>
      </c>
      <c r="X19" s="307">
        <v>3.7</v>
      </c>
      <c r="Y19" s="374">
        <v>3.2</v>
      </c>
      <c r="Z19" s="366" t="s">
        <v>339</v>
      </c>
      <c r="AA19" s="310">
        <v>1.8</v>
      </c>
      <c r="AB19" s="307">
        <v>5.3</v>
      </c>
      <c r="AC19" s="374">
        <v>2.2</v>
      </c>
      <c r="AE19" s="370" t="s">
        <v>446</v>
      </c>
      <c r="AF19" s="370" t="s">
        <v>446</v>
      </c>
    </row>
    <row r="20" spans="1:32" ht="12.75">
      <c r="A20" s="348" t="s">
        <v>17</v>
      </c>
      <c r="B20" s="460"/>
      <c r="C20" s="177"/>
      <c r="D20" s="177"/>
      <c r="E20" s="177"/>
      <c r="F20" s="178"/>
      <c r="G20" s="83" t="e">
        <f t="shared" si="3"/>
        <v>#NUM!</v>
      </c>
      <c r="H20" s="84">
        <f t="shared" si="4"/>
        <v>0</v>
      </c>
      <c r="I20" s="347">
        <f t="shared" si="5"/>
        <v>0</v>
      </c>
      <c r="J20" s="9"/>
      <c r="K20" s="9"/>
      <c r="L20" s="318">
        <v>0.0167</v>
      </c>
      <c r="M20" s="9"/>
      <c r="N20" s="9"/>
      <c r="O20" s="9"/>
      <c r="P20" s="9"/>
      <c r="Q20" s="9"/>
      <c r="R20" s="9"/>
      <c r="S20" s="9"/>
      <c r="V20" s="366" t="s">
        <v>338</v>
      </c>
      <c r="W20" s="310">
        <v>2.8</v>
      </c>
      <c r="X20" s="307">
        <v>3.7</v>
      </c>
      <c r="Y20" s="374">
        <v>3.2</v>
      </c>
      <c r="Z20" s="366" t="s">
        <v>332</v>
      </c>
      <c r="AA20" s="310">
        <v>1.9</v>
      </c>
      <c r="AB20" s="307">
        <v>4.3</v>
      </c>
      <c r="AC20" s="374">
        <v>3.5</v>
      </c>
      <c r="AE20" s="366" t="s">
        <v>434</v>
      </c>
      <c r="AF20" s="366" t="s">
        <v>362</v>
      </c>
    </row>
    <row r="21" spans="1:32" ht="12.75">
      <c r="A21" s="348" t="s">
        <v>25</v>
      </c>
      <c r="B21" s="460"/>
      <c r="C21" s="177"/>
      <c r="D21" s="177"/>
      <c r="E21" s="177"/>
      <c r="F21" s="178"/>
      <c r="G21" s="83" t="e">
        <f t="shared" si="3"/>
        <v>#NUM!</v>
      </c>
      <c r="H21" s="84">
        <f t="shared" si="4"/>
        <v>0</v>
      </c>
      <c r="I21" s="347">
        <f t="shared" si="5"/>
        <v>0</v>
      </c>
      <c r="J21" s="9"/>
      <c r="K21" s="9"/>
      <c r="L21" s="9"/>
      <c r="M21" s="9"/>
      <c r="N21" s="9"/>
      <c r="O21" s="9"/>
      <c r="P21" s="9"/>
      <c r="Q21" s="9"/>
      <c r="R21" s="9"/>
      <c r="S21" s="9"/>
      <c r="V21" s="366" t="s">
        <v>340</v>
      </c>
      <c r="W21" s="310">
        <v>2.4</v>
      </c>
      <c r="X21" s="307">
        <v>3.8</v>
      </c>
      <c r="Y21" s="374">
        <v>3</v>
      </c>
      <c r="Z21" s="366" t="s">
        <v>334</v>
      </c>
      <c r="AA21" s="310">
        <v>1.8</v>
      </c>
      <c r="AB21" s="307">
        <v>5.2</v>
      </c>
      <c r="AC21" s="374">
        <v>3.1</v>
      </c>
      <c r="AE21" s="366" t="s">
        <v>435</v>
      </c>
      <c r="AF21" s="366" t="s">
        <v>363</v>
      </c>
    </row>
    <row r="22" spans="1:32" ht="12.75">
      <c r="A22" s="348" t="s">
        <v>18</v>
      </c>
      <c r="B22" s="460"/>
      <c r="C22" s="177"/>
      <c r="D22" s="177"/>
      <c r="E22" s="177"/>
      <c r="F22" s="178"/>
      <c r="G22" s="83" t="e">
        <f t="shared" si="3"/>
        <v>#NUM!</v>
      </c>
      <c r="H22" s="84">
        <f t="shared" si="4"/>
        <v>0</v>
      </c>
      <c r="I22" s="347">
        <f t="shared" si="5"/>
        <v>0</v>
      </c>
      <c r="J22" s="9"/>
      <c r="K22" s="9"/>
      <c r="L22" s="9"/>
      <c r="M22" s="9"/>
      <c r="N22" s="9"/>
      <c r="O22" s="9"/>
      <c r="P22" s="9"/>
      <c r="Q22" s="9"/>
      <c r="R22" s="9"/>
      <c r="S22" s="9"/>
      <c r="V22" s="366" t="s">
        <v>447</v>
      </c>
      <c r="W22" s="367">
        <v>4.2</v>
      </c>
      <c r="X22" s="368">
        <v>4.6</v>
      </c>
      <c r="Y22" s="369">
        <v>2.2</v>
      </c>
      <c r="Z22" s="370" t="s">
        <v>431</v>
      </c>
      <c r="AA22" s="371">
        <v>2.1</v>
      </c>
      <c r="AB22" s="372">
        <v>5.7</v>
      </c>
      <c r="AC22" s="373">
        <v>2.5</v>
      </c>
      <c r="AE22" s="197" t="s">
        <v>436</v>
      </c>
      <c r="AF22" s="197" t="s">
        <v>364</v>
      </c>
    </row>
    <row r="23" spans="1:32" ht="12.75">
      <c r="A23" s="353" t="s">
        <v>19</v>
      </c>
      <c r="B23" s="464"/>
      <c r="C23" s="181"/>
      <c r="D23" s="181"/>
      <c r="E23" s="181"/>
      <c r="F23" s="182"/>
      <c r="G23" s="83" t="e">
        <f t="shared" si="3"/>
        <v>#NUM!</v>
      </c>
      <c r="H23" s="84">
        <f t="shared" si="4"/>
        <v>0</v>
      </c>
      <c r="I23" s="347">
        <f t="shared" si="5"/>
        <v>0</v>
      </c>
      <c r="J23" s="9"/>
      <c r="K23" s="9"/>
      <c r="L23" s="9"/>
      <c r="M23" s="9"/>
      <c r="N23" s="9"/>
      <c r="O23" s="9"/>
      <c r="P23" s="9"/>
      <c r="Q23" s="9"/>
      <c r="R23" s="9"/>
      <c r="S23" s="9"/>
      <c r="V23" s="366" t="s">
        <v>341</v>
      </c>
      <c r="W23" s="367">
        <v>3.7</v>
      </c>
      <c r="X23" s="368">
        <v>4.5</v>
      </c>
      <c r="Y23" s="369">
        <v>2.2</v>
      </c>
      <c r="Z23" s="370" t="s">
        <v>438</v>
      </c>
      <c r="AA23" s="371">
        <v>1.9</v>
      </c>
      <c r="AB23" s="372">
        <v>6.1</v>
      </c>
      <c r="AC23" s="373">
        <v>2.5</v>
      </c>
      <c r="AE23" s="197" t="s">
        <v>437</v>
      </c>
      <c r="AF23" s="197" t="s">
        <v>365</v>
      </c>
    </row>
    <row r="24" spans="1:32" ht="12.75">
      <c r="A24" s="348" t="s">
        <v>20</v>
      </c>
      <c r="B24" s="460"/>
      <c r="C24" s="177"/>
      <c r="D24" s="177"/>
      <c r="E24" s="177"/>
      <c r="F24" s="178"/>
      <c r="G24" s="83" t="e">
        <f t="shared" si="3"/>
        <v>#NUM!</v>
      </c>
      <c r="H24" s="84">
        <f t="shared" si="4"/>
        <v>0</v>
      </c>
      <c r="I24" s="347">
        <f t="shared" si="5"/>
        <v>0</v>
      </c>
      <c r="J24" s="9"/>
      <c r="K24" s="9"/>
      <c r="L24" s="9"/>
      <c r="M24" s="9"/>
      <c r="N24" s="9"/>
      <c r="O24" s="9"/>
      <c r="P24" s="9"/>
      <c r="Q24" s="9"/>
      <c r="R24" s="9"/>
      <c r="S24" s="9"/>
      <c r="V24" s="366" t="s">
        <v>342</v>
      </c>
      <c r="W24" s="367">
        <v>4.1</v>
      </c>
      <c r="X24" s="368">
        <v>4.5</v>
      </c>
      <c r="Y24" s="369">
        <v>2.4</v>
      </c>
      <c r="Z24" s="370" t="s">
        <v>440</v>
      </c>
      <c r="AA24" s="371">
        <v>2.4</v>
      </c>
      <c r="AB24" s="372">
        <v>5.4</v>
      </c>
      <c r="AC24" s="373">
        <v>2.6</v>
      </c>
      <c r="AE24" s="366" t="s">
        <v>344</v>
      </c>
      <c r="AF24" s="366" t="s">
        <v>366</v>
      </c>
    </row>
    <row r="25" spans="1:32" ht="12.75">
      <c r="A25" s="353" t="s">
        <v>21</v>
      </c>
      <c r="B25" s="464"/>
      <c r="C25" s="181"/>
      <c r="D25" s="181"/>
      <c r="E25" s="181"/>
      <c r="F25" s="182"/>
      <c r="G25" s="83" t="e">
        <f t="shared" si="3"/>
        <v>#NUM!</v>
      </c>
      <c r="H25" s="84">
        <f t="shared" si="4"/>
        <v>0</v>
      </c>
      <c r="I25" s="347">
        <f t="shared" si="5"/>
        <v>0</v>
      </c>
      <c r="J25" s="9"/>
      <c r="K25" s="9"/>
      <c r="L25" s="9"/>
      <c r="M25" s="9"/>
      <c r="N25" s="9"/>
      <c r="O25" s="9"/>
      <c r="P25" s="9"/>
      <c r="Q25" s="9"/>
      <c r="R25" s="9"/>
      <c r="S25" s="9"/>
      <c r="V25" s="366" t="s">
        <v>343</v>
      </c>
      <c r="W25" s="310">
        <v>4.4</v>
      </c>
      <c r="X25" s="307">
        <v>4.7</v>
      </c>
      <c r="Y25" s="374">
        <v>1.7</v>
      </c>
      <c r="Z25" s="370" t="s">
        <v>446</v>
      </c>
      <c r="AA25" s="371">
        <v>2.7</v>
      </c>
      <c r="AB25" s="372">
        <v>7.9</v>
      </c>
      <c r="AC25" s="373">
        <v>0.6</v>
      </c>
      <c r="AE25" s="197" t="s">
        <v>345</v>
      </c>
      <c r="AF25" s="197" t="s">
        <v>367</v>
      </c>
    </row>
    <row r="26" spans="1:32" ht="13.5" thickBot="1">
      <c r="A26" s="349" t="s">
        <v>22</v>
      </c>
      <c r="B26" s="461"/>
      <c r="C26" s="321"/>
      <c r="D26" s="321"/>
      <c r="E26" s="321"/>
      <c r="F26" s="322"/>
      <c r="G26" s="323" t="e">
        <f t="shared" si="3"/>
        <v>#NUM!</v>
      </c>
      <c r="H26" s="324">
        <f t="shared" si="4"/>
        <v>0</v>
      </c>
      <c r="I26" s="350">
        <f t="shared" si="5"/>
        <v>0</v>
      </c>
      <c r="J26" s="9"/>
      <c r="K26" s="9"/>
      <c r="L26" s="9"/>
      <c r="M26" s="9"/>
      <c r="N26" s="9"/>
      <c r="O26" s="9"/>
      <c r="P26" s="9"/>
      <c r="Q26" s="9"/>
      <c r="R26" s="9"/>
      <c r="S26" s="9"/>
      <c r="V26" s="366" t="s">
        <v>344</v>
      </c>
      <c r="W26" s="310">
        <v>3</v>
      </c>
      <c r="X26" s="307">
        <v>4.2</v>
      </c>
      <c r="Y26" s="374">
        <v>2.8</v>
      </c>
      <c r="Z26" s="366" t="s">
        <v>434</v>
      </c>
      <c r="AA26" s="310">
        <v>1.5</v>
      </c>
      <c r="AB26" s="307">
        <v>4.8</v>
      </c>
      <c r="AC26" s="374">
        <v>3.4</v>
      </c>
      <c r="AE26" s="197" t="s">
        <v>351</v>
      </c>
      <c r="AF26" s="197" t="s">
        <v>368</v>
      </c>
    </row>
    <row r="27" spans="1:32" ht="13.5" thickBot="1">
      <c r="A27" s="331" t="s">
        <v>34</v>
      </c>
      <c r="B27" s="465"/>
      <c r="C27" s="332"/>
      <c r="D27" s="332"/>
      <c r="E27" s="332"/>
      <c r="F27" s="333"/>
      <c r="G27" s="328"/>
      <c r="H27" s="329"/>
      <c r="I27" s="330"/>
      <c r="J27" s="9"/>
      <c r="K27" s="9"/>
      <c r="L27" s="9"/>
      <c r="M27" s="9"/>
      <c r="N27" s="9"/>
      <c r="O27" s="9"/>
      <c r="P27" s="9"/>
      <c r="Q27" s="9"/>
      <c r="R27" s="9"/>
      <c r="S27" s="9"/>
      <c r="V27" s="366" t="s">
        <v>345</v>
      </c>
      <c r="W27" s="310">
        <v>2.8</v>
      </c>
      <c r="X27" s="307">
        <v>3.9</v>
      </c>
      <c r="Y27" s="374">
        <v>3.1</v>
      </c>
      <c r="Z27" s="366" t="s">
        <v>435</v>
      </c>
      <c r="AA27" s="310">
        <v>1.9</v>
      </c>
      <c r="AB27" s="307">
        <v>4.7</v>
      </c>
      <c r="AC27" s="374">
        <v>3.1</v>
      </c>
      <c r="AE27" s="197" t="s">
        <v>346</v>
      </c>
      <c r="AF27" s="197" t="s">
        <v>369</v>
      </c>
    </row>
    <row r="28" spans="1:32" ht="12.75">
      <c r="A28" s="351" t="s">
        <v>30</v>
      </c>
      <c r="B28" s="463"/>
      <c r="C28" s="179"/>
      <c r="D28" s="179"/>
      <c r="E28" s="179"/>
      <c r="F28" s="180"/>
      <c r="G28" s="85" t="e">
        <f aca="true" t="shared" si="6" ref="G28:G33">ROUND(MEDIAN(B28:F28),3)</f>
        <v>#NUM!</v>
      </c>
      <c r="H28" s="86">
        <f aca="true" t="shared" si="7" ref="H28:H33">IF(C28=0,0,ROUND(STDEVA(B28:F28),3))</f>
        <v>0</v>
      </c>
      <c r="I28" s="352">
        <f aca="true" t="shared" si="8" ref="I28:I33">IF(C28=0,0,ROUND((H28/G28)*100,3))</f>
        <v>0</v>
      </c>
      <c r="J28" s="9"/>
      <c r="K28" s="9"/>
      <c r="L28" s="9"/>
      <c r="M28" s="9"/>
      <c r="N28" s="9"/>
      <c r="O28" s="9"/>
      <c r="P28" s="9"/>
      <c r="Q28" s="9"/>
      <c r="R28" s="9"/>
      <c r="S28" s="9"/>
      <c r="V28" s="366" t="s">
        <v>346</v>
      </c>
      <c r="W28" s="310">
        <v>2.9</v>
      </c>
      <c r="X28" s="307">
        <v>3.7</v>
      </c>
      <c r="Y28" s="374">
        <v>3</v>
      </c>
      <c r="Z28" s="366" t="s">
        <v>436</v>
      </c>
      <c r="AA28" s="310">
        <v>1.7</v>
      </c>
      <c r="AB28" s="307">
        <v>4.9</v>
      </c>
      <c r="AC28" s="374">
        <v>3.2</v>
      </c>
      <c r="AE28" s="197" t="s">
        <v>353</v>
      </c>
      <c r="AF28" s="197" t="s">
        <v>370</v>
      </c>
    </row>
    <row r="29" spans="1:32" ht="12.75">
      <c r="A29" s="348" t="s">
        <v>29</v>
      </c>
      <c r="B29" s="460"/>
      <c r="C29" s="177"/>
      <c r="D29" s="177"/>
      <c r="E29" s="177"/>
      <c r="F29" s="178"/>
      <c r="G29" s="83" t="e">
        <f t="shared" si="6"/>
        <v>#NUM!</v>
      </c>
      <c r="H29" s="84">
        <f t="shared" si="7"/>
        <v>0</v>
      </c>
      <c r="I29" s="347">
        <f t="shared" si="8"/>
        <v>0</v>
      </c>
      <c r="J29" s="9"/>
      <c r="K29" s="9"/>
      <c r="L29" s="9"/>
      <c r="M29" s="9"/>
      <c r="N29" s="9"/>
      <c r="O29" s="9"/>
      <c r="P29" s="9"/>
      <c r="Q29" s="9"/>
      <c r="R29" s="9"/>
      <c r="S29" s="9"/>
      <c r="V29" s="366" t="s">
        <v>347</v>
      </c>
      <c r="W29" s="367">
        <v>3</v>
      </c>
      <c r="X29" s="368">
        <v>3.8</v>
      </c>
      <c r="Y29" s="369">
        <v>3.3</v>
      </c>
      <c r="Z29" s="197" t="s">
        <v>430</v>
      </c>
      <c r="AA29" s="310">
        <v>2</v>
      </c>
      <c r="AB29">
        <v>6.5</v>
      </c>
      <c r="AC29" s="374">
        <v>1.5</v>
      </c>
      <c r="AE29" s="197" t="s">
        <v>442</v>
      </c>
      <c r="AF29" s="197" t="s">
        <v>450</v>
      </c>
    </row>
    <row r="30" spans="1:32" ht="12.75">
      <c r="A30" s="348" t="s">
        <v>23</v>
      </c>
      <c r="B30" s="460"/>
      <c r="C30" s="177"/>
      <c r="D30" s="177"/>
      <c r="E30" s="177"/>
      <c r="F30" s="178"/>
      <c r="G30" s="83" t="e">
        <f t="shared" si="6"/>
        <v>#NUM!</v>
      </c>
      <c r="H30" s="84">
        <f t="shared" si="7"/>
        <v>0</v>
      </c>
      <c r="I30" s="347">
        <f t="shared" si="8"/>
        <v>0</v>
      </c>
      <c r="J30" s="9"/>
      <c r="K30" s="9"/>
      <c r="L30" s="9"/>
      <c r="M30" s="9"/>
      <c r="N30" s="9"/>
      <c r="O30" s="9"/>
      <c r="P30" s="9"/>
      <c r="Q30" s="9"/>
      <c r="R30" s="9"/>
      <c r="S30" s="9"/>
      <c r="V30" s="366" t="s">
        <v>352</v>
      </c>
      <c r="W30" s="310">
        <v>0</v>
      </c>
      <c r="X30">
        <v>0</v>
      </c>
      <c r="Y30" s="374">
        <v>0</v>
      </c>
      <c r="Z30" s="366" t="s">
        <v>429</v>
      </c>
      <c r="AA30" s="310">
        <v>1.8</v>
      </c>
      <c r="AB30">
        <v>6.8</v>
      </c>
      <c r="AC30" s="374">
        <v>1.4</v>
      </c>
      <c r="AE30" s="197" t="s">
        <v>347</v>
      </c>
      <c r="AF30" s="197" t="s">
        <v>347</v>
      </c>
    </row>
    <row r="31" spans="1:32" ht="12.75">
      <c r="A31" s="348" t="s">
        <v>24</v>
      </c>
      <c r="B31" s="460"/>
      <c r="C31" s="177"/>
      <c r="D31" s="177"/>
      <c r="E31" s="177"/>
      <c r="F31" s="178"/>
      <c r="G31" s="83" t="e">
        <f t="shared" si="6"/>
        <v>#NUM!</v>
      </c>
      <c r="H31" s="84">
        <f t="shared" si="7"/>
        <v>0</v>
      </c>
      <c r="I31" s="347">
        <f t="shared" si="8"/>
        <v>0</v>
      </c>
      <c r="J31" s="9"/>
      <c r="K31" s="9"/>
      <c r="L31" s="9"/>
      <c r="M31" s="9"/>
      <c r="N31" s="9"/>
      <c r="O31" s="9"/>
      <c r="P31" s="9"/>
      <c r="Q31" s="9"/>
      <c r="R31" s="9"/>
      <c r="S31" s="9"/>
      <c r="V31" s="366" t="s">
        <v>348</v>
      </c>
      <c r="W31" s="310">
        <v>2.9</v>
      </c>
      <c r="X31" s="307">
        <v>4.3</v>
      </c>
      <c r="Y31" s="374">
        <v>2.8</v>
      </c>
      <c r="Z31" t="s">
        <v>344</v>
      </c>
      <c r="AA31">
        <v>2</v>
      </c>
      <c r="AB31" s="307">
        <v>5.2</v>
      </c>
      <c r="AC31">
        <v>2.5</v>
      </c>
      <c r="AE31" s="197" t="s">
        <v>352</v>
      </c>
      <c r="AF31" s="197" t="s">
        <v>352</v>
      </c>
    </row>
    <row r="32" spans="1:32" ht="12.75">
      <c r="A32" s="348" t="s">
        <v>145</v>
      </c>
      <c r="B32" s="460"/>
      <c r="C32" s="177"/>
      <c r="D32" s="177"/>
      <c r="E32" s="177"/>
      <c r="F32" s="178"/>
      <c r="G32" s="83" t="e">
        <f t="shared" si="6"/>
        <v>#NUM!</v>
      </c>
      <c r="H32" s="84">
        <f t="shared" si="7"/>
        <v>0</v>
      </c>
      <c r="I32" s="347">
        <f t="shared" si="8"/>
        <v>0</v>
      </c>
      <c r="J32" s="9"/>
      <c r="K32" s="9"/>
      <c r="L32" s="9"/>
      <c r="M32" s="9"/>
      <c r="N32" s="9"/>
      <c r="O32" s="9"/>
      <c r="P32" s="9"/>
      <c r="Q32" s="9"/>
      <c r="R32" s="9"/>
      <c r="S32" s="9"/>
      <c r="V32" s="366" t="s">
        <v>349</v>
      </c>
      <c r="W32" s="310">
        <v>2.6</v>
      </c>
      <c r="X32" s="307">
        <v>3.9</v>
      </c>
      <c r="Y32" s="374">
        <v>3.3</v>
      </c>
      <c r="Z32" t="s">
        <v>345</v>
      </c>
      <c r="AA32">
        <v>2.1</v>
      </c>
      <c r="AB32" s="307">
        <v>5.5</v>
      </c>
      <c r="AC32">
        <v>2.5</v>
      </c>
      <c r="AE32" s="366" t="s">
        <v>348</v>
      </c>
      <c r="AF32" s="366" t="s">
        <v>371</v>
      </c>
    </row>
    <row r="33" spans="1:32" ht="13.5" thickBot="1">
      <c r="A33" s="354" t="s">
        <v>22</v>
      </c>
      <c r="B33" s="466"/>
      <c r="C33" s="183"/>
      <c r="D33" s="183"/>
      <c r="E33" s="183"/>
      <c r="F33" s="184"/>
      <c r="G33" s="87" t="e">
        <f t="shared" si="6"/>
        <v>#NUM!</v>
      </c>
      <c r="H33" s="88">
        <f t="shared" si="7"/>
        <v>0</v>
      </c>
      <c r="I33" s="355">
        <f t="shared" si="8"/>
        <v>0</v>
      </c>
      <c r="J33" s="9"/>
      <c r="K33" s="9"/>
      <c r="L33" s="9"/>
      <c r="M33" s="9"/>
      <c r="N33" s="9"/>
      <c r="O33" s="9"/>
      <c r="P33" s="9"/>
      <c r="Q33" s="9"/>
      <c r="R33" s="9"/>
      <c r="S33" s="9"/>
      <c r="V33" s="197" t="s">
        <v>449</v>
      </c>
      <c r="W33" s="367">
        <v>3.8</v>
      </c>
      <c r="X33" s="368">
        <v>4.3</v>
      </c>
      <c r="Y33" s="369">
        <v>2.7</v>
      </c>
      <c r="Z33" s="366" t="s">
        <v>351</v>
      </c>
      <c r="AA33" s="310">
        <v>2</v>
      </c>
      <c r="AB33" s="307">
        <v>5</v>
      </c>
      <c r="AC33" s="374">
        <v>2.3</v>
      </c>
      <c r="AE33" s="366" t="s">
        <v>349</v>
      </c>
      <c r="AF33" s="366" t="s">
        <v>372</v>
      </c>
    </row>
    <row r="34" spans="1:32" ht="12.75">
      <c r="A34" s="9"/>
      <c r="B34" s="9"/>
      <c r="C34" s="9"/>
      <c r="D34" s="9"/>
      <c r="E34" s="9"/>
      <c r="F34" s="9"/>
      <c r="G34" s="9"/>
      <c r="H34" s="9"/>
      <c r="I34" s="9"/>
      <c r="J34" s="9"/>
      <c r="K34" s="9"/>
      <c r="L34" s="9"/>
      <c r="M34" s="9"/>
      <c r="N34" s="9"/>
      <c r="O34" s="9"/>
      <c r="P34" s="9"/>
      <c r="Q34" s="9"/>
      <c r="R34" s="9"/>
      <c r="S34" s="9"/>
      <c r="V34" s="198" t="s">
        <v>350</v>
      </c>
      <c r="W34" s="378">
        <v>3.4</v>
      </c>
      <c r="X34" s="379">
        <v>4</v>
      </c>
      <c r="Y34" s="380">
        <v>2.8</v>
      </c>
      <c r="Z34" s="366" t="s">
        <v>346</v>
      </c>
      <c r="AA34" s="310">
        <v>1.9</v>
      </c>
      <c r="AB34" s="307">
        <v>4.9</v>
      </c>
      <c r="AC34" s="374">
        <v>3</v>
      </c>
      <c r="AE34" s="375" t="s">
        <v>433</v>
      </c>
      <c r="AF34" s="375" t="s">
        <v>433</v>
      </c>
    </row>
    <row r="35" spans="1:32" ht="12.75">
      <c r="A35" s="89"/>
      <c r="B35" s="9"/>
      <c r="C35" s="9"/>
      <c r="D35" s="9"/>
      <c r="E35" s="9"/>
      <c r="F35" s="9"/>
      <c r="G35" s="9"/>
      <c r="H35" s="9"/>
      <c r="I35" s="9"/>
      <c r="J35" s="9"/>
      <c r="K35" s="9"/>
      <c r="L35" s="9"/>
      <c r="M35" s="9"/>
      <c r="N35" s="9"/>
      <c r="O35" s="9"/>
      <c r="P35" s="9"/>
      <c r="Q35" s="9"/>
      <c r="R35" s="9"/>
      <c r="S35" s="9"/>
      <c r="V35" s="307" t="s">
        <v>448</v>
      </c>
      <c r="W35" s="368">
        <v>3</v>
      </c>
      <c r="X35" s="368">
        <v>3.5</v>
      </c>
      <c r="Y35" s="368">
        <v>3.5</v>
      </c>
      <c r="Z35" s="366" t="s">
        <v>353</v>
      </c>
      <c r="AA35" s="310">
        <v>2.3</v>
      </c>
      <c r="AB35" s="307">
        <v>5.2</v>
      </c>
      <c r="AC35" s="374">
        <v>2.1</v>
      </c>
      <c r="AE35" s="385" t="s">
        <v>439</v>
      </c>
      <c r="AF35" s="385" t="s">
        <v>439</v>
      </c>
    </row>
    <row r="36" spans="1:32" ht="12.75">
      <c r="A36" s="9"/>
      <c r="B36" s="9"/>
      <c r="C36" s="9"/>
      <c r="D36" s="9"/>
      <c r="E36" s="9"/>
      <c r="F36" s="9"/>
      <c r="G36" s="9"/>
      <c r="H36" s="9"/>
      <c r="I36" s="9"/>
      <c r="J36" s="9"/>
      <c r="K36" s="9"/>
      <c r="L36" s="9"/>
      <c r="M36" s="9"/>
      <c r="N36" s="9"/>
      <c r="O36" s="9"/>
      <c r="P36" s="9"/>
      <c r="Q36" s="9"/>
      <c r="R36" s="9"/>
      <c r="S36" s="9"/>
      <c r="V36" s="487"/>
      <c r="W36" s="488"/>
      <c r="X36" s="488"/>
      <c r="Y36" s="488"/>
      <c r="Z36" s="366" t="s">
        <v>442</v>
      </c>
      <c r="AA36" s="310">
        <v>2.5</v>
      </c>
      <c r="AB36" s="307">
        <v>5.3</v>
      </c>
      <c r="AC36" s="374">
        <v>2.3</v>
      </c>
      <c r="AE36" s="197" t="s">
        <v>443</v>
      </c>
      <c r="AF36" s="197" t="s">
        <v>443</v>
      </c>
    </row>
    <row r="37" spans="1:32" ht="13.5" thickBot="1">
      <c r="A37" s="90">
        <f>B2</f>
        <v>0</v>
      </c>
      <c r="B37" s="9"/>
      <c r="C37" s="9"/>
      <c r="D37" s="9"/>
      <c r="E37" s="9"/>
      <c r="F37" s="9"/>
      <c r="G37" s="91">
        <f>B3</f>
        <v>0</v>
      </c>
      <c r="H37" s="9"/>
      <c r="I37" s="9"/>
      <c r="J37" s="9"/>
      <c r="K37" s="9"/>
      <c r="L37" s="9"/>
      <c r="M37" s="9"/>
      <c r="N37" s="9"/>
      <c r="O37" s="9"/>
      <c r="P37" s="9"/>
      <c r="Q37" s="9"/>
      <c r="R37" s="9"/>
      <c r="S37" s="9"/>
      <c r="V37" s="307"/>
      <c r="W37" s="307"/>
      <c r="X37" s="307"/>
      <c r="Y37" s="307"/>
      <c r="Z37" s="366" t="s">
        <v>352</v>
      </c>
      <c r="AA37" s="310">
        <v>0</v>
      </c>
      <c r="AB37">
        <v>0</v>
      </c>
      <c r="AC37" s="374">
        <v>0</v>
      </c>
      <c r="AE37" s="366" t="s">
        <v>444</v>
      </c>
      <c r="AF37" s="366" t="s">
        <v>444</v>
      </c>
    </row>
    <row r="38" spans="1:32" ht="13.5" thickBot="1">
      <c r="A38" s="92" t="s">
        <v>39</v>
      </c>
      <c r="B38" s="93" t="s">
        <v>79</v>
      </c>
      <c r="C38" s="93" t="s">
        <v>77</v>
      </c>
      <c r="D38" s="94" t="s">
        <v>78</v>
      </c>
      <c r="E38" s="95" t="s">
        <v>79</v>
      </c>
      <c r="F38" s="96"/>
      <c r="G38" s="97" t="s">
        <v>80</v>
      </c>
      <c r="H38" s="98"/>
      <c r="I38" s="99"/>
      <c r="J38" s="9"/>
      <c r="K38" s="9"/>
      <c r="L38" s="9"/>
      <c r="M38" s="9"/>
      <c r="N38" s="9"/>
      <c r="O38" s="9"/>
      <c r="P38" s="9"/>
      <c r="Q38" s="9"/>
      <c r="R38" s="9"/>
      <c r="S38" s="9"/>
      <c r="V38" s="307"/>
      <c r="W38" s="307"/>
      <c r="X38" s="307"/>
      <c r="Y38" s="307"/>
      <c r="Z38" s="366" t="s">
        <v>348</v>
      </c>
      <c r="AA38" s="310">
        <v>2.1</v>
      </c>
      <c r="AB38" s="307">
        <v>5.7</v>
      </c>
      <c r="AC38" s="374">
        <v>2.6</v>
      </c>
      <c r="AE38" s="197" t="s">
        <v>445</v>
      </c>
      <c r="AF38" s="197" t="s">
        <v>445</v>
      </c>
    </row>
    <row r="39" spans="1:32" ht="13.5" thickTop="1">
      <c r="A39" s="100" t="s">
        <v>37</v>
      </c>
      <c r="B39" s="101">
        <v>2.07</v>
      </c>
      <c r="C39" s="101"/>
      <c r="D39" s="101"/>
      <c r="E39" s="102"/>
      <c r="F39" s="103"/>
      <c r="G39" s="104" t="s">
        <v>81</v>
      </c>
      <c r="H39" s="105"/>
      <c r="I39" s="212"/>
      <c r="J39" s="9"/>
      <c r="K39" s="9"/>
      <c r="L39" s="9"/>
      <c r="M39" s="9"/>
      <c r="N39" s="9"/>
      <c r="O39" s="9"/>
      <c r="P39" s="9"/>
      <c r="Q39" s="9"/>
      <c r="R39" s="9"/>
      <c r="S39" s="9"/>
      <c r="V39" s="307"/>
      <c r="W39" s="307"/>
      <c r="X39" s="307"/>
      <c r="Y39" s="307"/>
      <c r="Z39" s="366" t="s">
        <v>349</v>
      </c>
      <c r="AA39" s="310">
        <v>1.8</v>
      </c>
      <c r="AB39" s="307">
        <v>5.1</v>
      </c>
      <c r="AC39" s="374">
        <v>2.9</v>
      </c>
      <c r="AE39" s="386" t="s">
        <v>354</v>
      </c>
      <c r="AF39" s="386" t="s">
        <v>354</v>
      </c>
    </row>
    <row r="40" spans="1:32" ht="12.75">
      <c r="A40" s="106" t="s">
        <v>38</v>
      </c>
      <c r="B40" s="107">
        <v>1.96</v>
      </c>
      <c r="C40" s="107"/>
      <c r="D40" s="107"/>
      <c r="E40" s="108"/>
      <c r="F40" s="103"/>
      <c r="G40" s="109" t="s">
        <v>92</v>
      </c>
      <c r="H40" s="107"/>
      <c r="I40" s="110" t="e">
        <f>I39-E78</f>
        <v>#NUM!</v>
      </c>
      <c r="J40" s="9"/>
      <c r="K40" s="9"/>
      <c r="L40" s="9"/>
      <c r="M40" s="9"/>
      <c r="N40" s="9"/>
      <c r="O40" s="9"/>
      <c r="P40" s="9"/>
      <c r="Q40" s="9"/>
      <c r="R40" s="9"/>
      <c r="S40" s="9"/>
      <c r="V40" s="307"/>
      <c r="W40" s="307"/>
      <c r="X40" s="307"/>
      <c r="Y40" s="307"/>
      <c r="Z40" s="375" t="s">
        <v>433</v>
      </c>
      <c r="AA40" s="376">
        <v>1.8</v>
      </c>
      <c r="AB40" s="377">
        <v>4.4</v>
      </c>
      <c r="AC40" s="373">
        <v>3.7</v>
      </c>
      <c r="AE40" s="197" t="s">
        <v>449</v>
      </c>
      <c r="AF40" s="197" t="s">
        <v>449</v>
      </c>
    </row>
    <row r="41" spans="1:32" ht="12.75">
      <c r="A41" s="106" t="s">
        <v>47</v>
      </c>
      <c r="B41" s="111" t="b">
        <f>IF(I2=1,2.07,IF(I2=2,1.96))</f>
        <v>0</v>
      </c>
      <c r="C41" s="107"/>
      <c r="D41" s="107"/>
      <c r="E41" s="108"/>
      <c r="F41" s="103"/>
      <c r="G41" s="109" t="s">
        <v>82</v>
      </c>
      <c r="H41" s="107"/>
      <c r="I41" s="110" t="e">
        <f>E80-I39</f>
        <v>#NUM!</v>
      </c>
      <c r="J41" s="9"/>
      <c r="K41" s="9"/>
      <c r="L41" s="9"/>
      <c r="M41" s="9"/>
      <c r="N41" s="9"/>
      <c r="O41" s="9"/>
      <c r="P41" s="9"/>
      <c r="Q41" s="9"/>
      <c r="R41" s="9"/>
      <c r="S41" s="9"/>
      <c r="V41" s="307"/>
      <c r="W41" s="307"/>
      <c r="X41" s="307"/>
      <c r="Y41" s="307"/>
      <c r="Z41" s="370" t="s">
        <v>439</v>
      </c>
      <c r="AA41" s="371">
        <v>2</v>
      </c>
      <c r="AB41" s="372">
        <v>5.2</v>
      </c>
      <c r="AC41" s="373">
        <v>3</v>
      </c>
      <c r="AE41" s="197" t="s">
        <v>350</v>
      </c>
      <c r="AF41" s="197" t="s">
        <v>350</v>
      </c>
    </row>
    <row r="42" spans="1:32" ht="12.75">
      <c r="A42" s="106" t="s">
        <v>41</v>
      </c>
      <c r="B42" s="107">
        <v>68.308</v>
      </c>
      <c r="C42" s="107"/>
      <c r="D42" s="107"/>
      <c r="E42" s="108"/>
      <c r="F42" s="103"/>
      <c r="G42" s="109" t="s">
        <v>83</v>
      </c>
      <c r="H42" s="107"/>
      <c r="I42" s="112"/>
      <c r="J42" s="9"/>
      <c r="K42" s="9"/>
      <c r="L42" s="9"/>
      <c r="M42" s="9"/>
      <c r="N42" s="9"/>
      <c r="O42" s="9"/>
      <c r="P42" s="9"/>
      <c r="Q42" s="9"/>
      <c r="R42" s="9"/>
      <c r="S42" s="9"/>
      <c r="V42" s="307"/>
      <c r="W42" s="307"/>
      <c r="X42" s="307"/>
      <c r="Y42" s="307"/>
      <c r="Z42" s="366" t="s">
        <v>443</v>
      </c>
      <c r="AA42" s="310">
        <v>2.7</v>
      </c>
      <c r="AB42" s="307">
        <v>7.1</v>
      </c>
      <c r="AC42" s="374">
        <v>1.2</v>
      </c>
      <c r="AE42" s="307" t="s">
        <v>448</v>
      </c>
      <c r="AF42" s="307" t="s">
        <v>448</v>
      </c>
    </row>
    <row r="43" spans="1:29" ht="12.75">
      <c r="A43" s="106" t="s">
        <v>42</v>
      </c>
      <c r="B43" s="107">
        <v>73.074</v>
      </c>
      <c r="C43" s="107"/>
      <c r="D43" s="107"/>
      <c r="E43" s="108"/>
      <c r="F43" s="103"/>
      <c r="G43" s="109" t="s">
        <v>84</v>
      </c>
      <c r="H43" s="107"/>
      <c r="I43" s="113" t="e">
        <f>E52/I41</f>
        <v>#NUM!</v>
      </c>
      <c r="J43" s="9"/>
      <c r="K43" s="9"/>
      <c r="L43" s="9"/>
      <c r="M43" s="9"/>
      <c r="N43" s="9"/>
      <c r="O43" s="9"/>
      <c r="P43" s="9"/>
      <c r="Q43" s="9"/>
      <c r="R43" s="9"/>
      <c r="S43" s="9"/>
      <c r="V43" s="307"/>
      <c r="W43" s="307"/>
      <c r="X43" s="307"/>
      <c r="Y43" s="307"/>
      <c r="Z43" s="366" t="s">
        <v>444</v>
      </c>
      <c r="AA43" s="310">
        <v>4.2</v>
      </c>
      <c r="AB43" s="307">
        <v>9.4</v>
      </c>
      <c r="AC43" s="374">
        <v>0.3</v>
      </c>
    </row>
    <row r="44" spans="1:29" ht="12.75">
      <c r="A44" s="106" t="s">
        <v>43</v>
      </c>
      <c r="B44" s="107">
        <v>70.691</v>
      </c>
      <c r="C44" s="107"/>
      <c r="D44" s="107"/>
      <c r="E44" s="108"/>
      <c r="F44" s="103"/>
      <c r="G44" s="109" t="s">
        <v>85</v>
      </c>
      <c r="H44" s="107"/>
      <c r="I44" s="113" t="e">
        <f>E62/I41</f>
        <v>#NUM!</v>
      </c>
      <c r="J44" s="9"/>
      <c r="K44" s="9"/>
      <c r="L44" s="9"/>
      <c r="M44" s="9"/>
      <c r="N44" s="9"/>
      <c r="O44" s="9"/>
      <c r="P44" s="9"/>
      <c r="Q44" s="9"/>
      <c r="R44" s="9"/>
      <c r="S44" s="9"/>
      <c r="V44" s="307"/>
      <c r="W44" s="307"/>
      <c r="X44" s="307"/>
      <c r="Y44" s="307"/>
      <c r="Z44" s="366" t="s">
        <v>445</v>
      </c>
      <c r="AA44" s="310">
        <v>3.9</v>
      </c>
      <c r="AB44" s="307">
        <v>8.5</v>
      </c>
      <c r="AC44" s="374">
        <v>1</v>
      </c>
    </row>
    <row r="45" spans="1:29" ht="12.75">
      <c r="A45" s="106" t="s">
        <v>45</v>
      </c>
      <c r="B45" s="111">
        <f>IF(I2=1,68.308,IF(I2=2,73.074,IF(I3&lt;12,70.691)))</f>
        <v>70.691</v>
      </c>
      <c r="C45" s="107"/>
      <c r="D45" s="107"/>
      <c r="E45" s="108"/>
      <c r="F45" s="103"/>
      <c r="G45" s="109" t="s">
        <v>86</v>
      </c>
      <c r="H45" s="107"/>
      <c r="I45" s="113" t="e">
        <f>E68/I41</f>
        <v>#NUM!</v>
      </c>
      <c r="J45" s="9"/>
      <c r="K45" s="9"/>
      <c r="L45" s="9"/>
      <c r="M45" s="9"/>
      <c r="N45" s="9"/>
      <c r="O45" s="9"/>
      <c r="P45" s="9"/>
      <c r="Q45" s="9"/>
      <c r="R45" s="9"/>
      <c r="S45" s="9"/>
      <c r="V45" s="307"/>
      <c r="W45" s="307"/>
      <c r="X45" s="307"/>
      <c r="Y45" s="307"/>
      <c r="Z45" s="381" t="s">
        <v>354</v>
      </c>
      <c r="AA45" s="382">
        <v>2.7</v>
      </c>
      <c r="AB45" s="383">
        <v>6</v>
      </c>
      <c r="AC45" s="384">
        <v>2</v>
      </c>
    </row>
    <row r="46" spans="1:29" ht="12.75">
      <c r="A46" s="106" t="s">
        <v>44</v>
      </c>
      <c r="B46" s="114" t="e">
        <f>(B45*G6^0.425*G7^0.725)/10000</f>
        <v>#NUM!</v>
      </c>
      <c r="C46" s="107"/>
      <c r="D46" s="107"/>
      <c r="E46" s="108"/>
      <c r="F46" s="103"/>
      <c r="G46" s="109" t="s">
        <v>87</v>
      </c>
      <c r="H46" s="107"/>
      <c r="I46" s="113" t="e">
        <f>E47/I41</f>
        <v>#NUM!</v>
      </c>
      <c r="J46" s="9"/>
      <c r="K46" s="9"/>
      <c r="L46" s="9"/>
      <c r="M46" s="9"/>
      <c r="N46" s="9"/>
      <c r="O46" s="9"/>
      <c r="P46" s="9"/>
      <c r="Q46" s="9"/>
      <c r="R46" s="9"/>
      <c r="S46" s="9"/>
      <c r="Z46" s="308" t="s">
        <v>350</v>
      </c>
      <c r="AA46" s="377">
        <v>2.5</v>
      </c>
      <c r="AB46" s="377">
        <v>5.2</v>
      </c>
      <c r="AC46" s="377">
        <v>2.8</v>
      </c>
    </row>
    <row r="47" spans="1:19" ht="12.75">
      <c r="A47" s="115" t="s">
        <v>48</v>
      </c>
      <c r="B47" s="116" t="e">
        <f>(B46*B41*1.05)</f>
        <v>#NUM!</v>
      </c>
      <c r="C47" s="117" t="e">
        <f>B47/B80</f>
        <v>#NUM!</v>
      </c>
      <c r="D47" s="114" t="e">
        <f>B81*C47</f>
        <v>#NUM!</v>
      </c>
      <c r="E47" s="118" t="e">
        <f>B47-D47</f>
        <v>#NUM!</v>
      </c>
      <c r="F47" s="119"/>
      <c r="G47" s="109" t="s">
        <v>88</v>
      </c>
      <c r="H47" s="107"/>
      <c r="I47" s="113" t="e">
        <f>SUM(I43:I46)</f>
        <v>#NUM!</v>
      </c>
      <c r="J47" s="9"/>
      <c r="K47" s="9"/>
      <c r="L47" s="9"/>
      <c r="M47" s="9"/>
      <c r="N47" s="9"/>
      <c r="O47" s="9"/>
      <c r="P47" s="9"/>
      <c r="Q47" s="9"/>
      <c r="R47" s="9"/>
      <c r="S47" s="9"/>
    </row>
    <row r="48" spans="1:19" ht="13.5" thickBot="1">
      <c r="A48" s="106"/>
      <c r="B48" s="107"/>
      <c r="C48" s="107"/>
      <c r="D48" s="107"/>
      <c r="E48" s="108"/>
      <c r="F48" s="103"/>
      <c r="G48" s="120"/>
      <c r="H48" s="121"/>
      <c r="I48" s="122"/>
      <c r="J48" s="9"/>
      <c r="K48" s="9"/>
      <c r="L48" s="9"/>
      <c r="M48" s="9"/>
      <c r="N48" s="9"/>
      <c r="O48" s="9"/>
      <c r="P48" s="9"/>
      <c r="Q48" s="9"/>
      <c r="R48" s="9"/>
      <c r="S48" s="9"/>
    </row>
    <row r="49" spans="1:19" ht="13.5" thickBot="1">
      <c r="A49" s="106" t="s">
        <v>49</v>
      </c>
      <c r="B49" s="107"/>
      <c r="C49" s="107"/>
      <c r="D49" s="107"/>
      <c r="E49" s="108"/>
      <c r="F49" s="103"/>
      <c r="G49" s="123" t="s">
        <v>89</v>
      </c>
      <c r="H49" s="124"/>
      <c r="I49" s="125"/>
      <c r="J49" s="9"/>
      <c r="K49" s="9"/>
      <c r="L49" s="9"/>
      <c r="M49" s="9"/>
      <c r="N49" s="9"/>
      <c r="O49" s="9"/>
      <c r="P49" s="9"/>
      <c r="Q49" s="9"/>
      <c r="R49" s="9"/>
      <c r="S49" s="9"/>
    </row>
    <row r="50" spans="1:19" ht="13.5" thickTop="1">
      <c r="A50" s="126" t="s">
        <v>50</v>
      </c>
      <c r="B50" s="127" t="e">
        <f>SUM(G28:G33)</f>
        <v>#NUM!</v>
      </c>
      <c r="C50" s="107"/>
      <c r="D50" s="107"/>
      <c r="E50" s="108"/>
      <c r="F50" s="103"/>
      <c r="G50" s="128" t="s">
        <v>90</v>
      </c>
      <c r="H50" s="129"/>
      <c r="I50" s="130" t="e">
        <f>E52-(I40*I43)</f>
        <v>#NUM!</v>
      </c>
      <c r="J50" s="9"/>
      <c r="K50" s="9"/>
      <c r="L50" s="9"/>
      <c r="M50" s="9"/>
      <c r="N50" s="9"/>
      <c r="O50" s="9"/>
      <c r="P50" s="9"/>
      <c r="Q50" s="9"/>
      <c r="R50" s="9"/>
      <c r="S50" s="9"/>
    </row>
    <row r="51" spans="1:19" ht="12.75">
      <c r="A51" s="106" t="s">
        <v>51</v>
      </c>
      <c r="B51" s="114" t="e">
        <f>(B50*(170.18/G7)-116.41)/34.79</f>
        <v>#NUM!</v>
      </c>
      <c r="C51" s="107"/>
      <c r="D51" s="107"/>
      <c r="E51" s="108"/>
      <c r="F51" s="103"/>
      <c r="G51" s="131" t="s">
        <v>85</v>
      </c>
      <c r="H51" s="132"/>
      <c r="I51" s="133" t="e">
        <f>E62-(I40*I44)</f>
        <v>#NUM!</v>
      </c>
      <c r="J51" s="9"/>
      <c r="K51" s="9"/>
      <c r="L51" s="9"/>
      <c r="M51" s="9"/>
      <c r="N51" s="9"/>
      <c r="O51" s="9"/>
      <c r="P51" s="9"/>
      <c r="Q51" s="9"/>
      <c r="R51" s="9"/>
      <c r="S51" s="9"/>
    </row>
    <row r="52" spans="1:19" ht="12.75">
      <c r="A52" s="115" t="s">
        <v>52</v>
      </c>
      <c r="B52" s="116" t="e">
        <f>((B51*5.85)+25.6)/(170.18/G7)^3</f>
        <v>#NUM!</v>
      </c>
      <c r="C52" s="117" t="e">
        <f>B52/B80</f>
        <v>#NUM!</v>
      </c>
      <c r="D52" s="114" t="e">
        <f>B81*C52</f>
        <v>#NUM!</v>
      </c>
      <c r="E52" s="118" t="e">
        <f>B52-D52</f>
        <v>#NUM!</v>
      </c>
      <c r="F52" s="119"/>
      <c r="G52" s="131" t="s">
        <v>86</v>
      </c>
      <c r="H52" s="132"/>
      <c r="I52" s="133" t="e">
        <f>E68-(I40*I45)</f>
        <v>#NUM!</v>
      </c>
      <c r="J52" s="9"/>
      <c r="K52" s="9"/>
      <c r="L52" s="9"/>
      <c r="M52" s="9"/>
      <c r="N52" s="9"/>
      <c r="O52" s="9"/>
      <c r="P52" s="9"/>
      <c r="Q52" s="9"/>
      <c r="R52" s="9"/>
      <c r="S52" s="9"/>
    </row>
    <row r="53" spans="1:19" ht="12.75">
      <c r="A53" s="106"/>
      <c r="B53" s="107"/>
      <c r="C53" s="107"/>
      <c r="D53" s="107"/>
      <c r="E53" s="108"/>
      <c r="F53" s="103"/>
      <c r="G53" s="131" t="s">
        <v>91</v>
      </c>
      <c r="H53" s="132"/>
      <c r="I53" s="133">
        <f>I39</f>
        <v>0</v>
      </c>
      <c r="J53" s="9"/>
      <c r="K53" s="9"/>
      <c r="L53" s="9"/>
      <c r="M53" s="9"/>
      <c r="N53" s="9"/>
      <c r="O53" s="9"/>
      <c r="P53" s="9"/>
      <c r="Q53" s="9"/>
      <c r="R53" s="9"/>
      <c r="S53" s="9"/>
    </row>
    <row r="54" spans="1:19" ht="13.5" thickBot="1">
      <c r="A54" s="106" t="s">
        <v>53</v>
      </c>
      <c r="B54" s="107"/>
      <c r="C54" s="107"/>
      <c r="D54" s="107"/>
      <c r="E54" s="108"/>
      <c r="F54" s="103"/>
      <c r="G54" s="134" t="s">
        <v>87</v>
      </c>
      <c r="H54" s="135"/>
      <c r="I54" s="136" t="e">
        <f>E47-(I40*I46)</f>
        <v>#NUM!</v>
      </c>
      <c r="J54" s="9"/>
      <c r="K54" s="9"/>
      <c r="L54" s="9"/>
      <c r="M54" s="9"/>
      <c r="N54" s="9"/>
      <c r="O54" s="9"/>
      <c r="P54" s="9"/>
      <c r="Q54" s="9"/>
      <c r="R54" s="9"/>
      <c r="S54" s="9"/>
    </row>
    <row r="55" spans="1:19" ht="14.25" thickBot="1" thickTop="1">
      <c r="A55" s="106" t="s">
        <v>54</v>
      </c>
      <c r="B55" s="114" t="e">
        <f>G18-(G28*3.141/10)</f>
        <v>#NUM!</v>
      </c>
      <c r="C55" s="107"/>
      <c r="D55" s="107"/>
      <c r="E55" s="108"/>
      <c r="F55" s="103"/>
      <c r="G55" s="137" t="s">
        <v>93</v>
      </c>
      <c r="H55" s="138"/>
      <c r="I55" s="139" t="e">
        <f>SUM(I50:I54)</f>
        <v>#NUM!</v>
      </c>
      <c r="J55" s="9"/>
      <c r="K55" s="9"/>
      <c r="L55" s="9"/>
      <c r="M55" s="9"/>
      <c r="N55" s="9"/>
      <c r="O55" s="9"/>
      <c r="P55" s="9"/>
      <c r="Q55" s="9"/>
      <c r="R55" s="9"/>
      <c r="S55" s="9"/>
    </row>
    <row r="56" spans="1:19" ht="13.5" thickBot="1">
      <c r="A56" s="106" t="s">
        <v>55</v>
      </c>
      <c r="B56" s="114" t="e">
        <f>G20</f>
        <v>#NUM!</v>
      </c>
      <c r="C56" s="107"/>
      <c r="D56" s="107"/>
      <c r="E56" s="108"/>
      <c r="F56" s="140"/>
      <c r="G56" s="141"/>
      <c r="H56" s="142"/>
      <c r="I56" s="142"/>
      <c r="J56" s="9"/>
      <c r="K56" s="9"/>
      <c r="L56" s="9"/>
      <c r="M56" s="9"/>
      <c r="N56" s="9"/>
      <c r="O56" s="9"/>
      <c r="P56" s="9"/>
      <c r="Q56" s="9"/>
      <c r="R56" s="9"/>
      <c r="S56" s="9"/>
    </row>
    <row r="57" spans="1:19" ht="12.75">
      <c r="A57" s="106" t="s">
        <v>56</v>
      </c>
      <c r="B57" s="114" t="e">
        <f>G24-(G32*3.141/10)</f>
        <v>#NUM!</v>
      </c>
      <c r="C57" s="107"/>
      <c r="D57" s="107"/>
      <c r="E57" s="108"/>
      <c r="F57" s="103"/>
      <c r="G57" s="143" t="s">
        <v>94</v>
      </c>
      <c r="H57" s="144"/>
      <c r="I57" s="142"/>
      <c r="J57" s="9"/>
      <c r="K57" s="9"/>
      <c r="L57" s="9"/>
      <c r="M57" s="9"/>
      <c r="N57" s="9"/>
      <c r="O57" s="9"/>
      <c r="P57" s="9"/>
      <c r="Q57" s="9"/>
      <c r="R57" s="9"/>
      <c r="S57" s="9"/>
    </row>
    <row r="58" spans="1:19" ht="12.75">
      <c r="A58" s="106" t="s">
        <v>57</v>
      </c>
      <c r="B58" s="114" t="e">
        <f>G26-(G33*3.141/10)</f>
        <v>#NUM!</v>
      </c>
      <c r="C58" s="107"/>
      <c r="D58" s="107"/>
      <c r="E58" s="108"/>
      <c r="F58" s="103"/>
      <c r="G58" s="145" t="s">
        <v>84</v>
      </c>
      <c r="H58" s="147" t="e">
        <f>I50/($G$7/100)^2</f>
        <v>#NUM!</v>
      </c>
      <c r="I58" s="142"/>
      <c r="J58" s="9"/>
      <c r="K58" s="9"/>
      <c r="L58" s="9"/>
      <c r="M58" s="9"/>
      <c r="N58" s="9"/>
      <c r="O58" s="9"/>
      <c r="P58" s="9"/>
      <c r="Q58" s="9"/>
      <c r="R58" s="9"/>
      <c r="S58" s="9"/>
    </row>
    <row r="59" spans="1:19" ht="12.75">
      <c r="A59" s="106" t="s">
        <v>58</v>
      </c>
      <c r="B59" s="114" t="e">
        <f>G21-(G29*3.141/10)</f>
        <v>#NUM!</v>
      </c>
      <c r="C59" s="107"/>
      <c r="D59" s="107"/>
      <c r="E59" s="108"/>
      <c r="F59" s="103"/>
      <c r="G59" s="146" t="s">
        <v>85</v>
      </c>
      <c r="H59" s="147" t="e">
        <f>I51/($G$7/100)^2</f>
        <v>#NUM!</v>
      </c>
      <c r="I59" s="142"/>
      <c r="J59" s="9"/>
      <c r="K59" s="9"/>
      <c r="L59" s="9"/>
      <c r="M59" s="9"/>
      <c r="N59" s="9"/>
      <c r="O59" s="9"/>
      <c r="P59" s="9"/>
      <c r="Q59" s="9"/>
      <c r="R59" s="9"/>
      <c r="S59" s="9"/>
    </row>
    <row r="60" spans="1:19" ht="12.75">
      <c r="A60" s="106" t="s">
        <v>60</v>
      </c>
      <c r="B60" s="114" t="e">
        <f>SUM(B55:B59)</f>
        <v>#NUM!</v>
      </c>
      <c r="C60" s="107"/>
      <c r="D60" s="107"/>
      <c r="E60" s="108"/>
      <c r="F60" s="103"/>
      <c r="G60" s="146" t="s">
        <v>86</v>
      </c>
      <c r="H60" s="147" t="e">
        <f>I52/($G$7/100)^2</f>
        <v>#NUM!</v>
      </c>
      <c r="I60" s="142"/>
      <c r="J60" s="9"/>
      <c r="K60" s="9"/>
      <c r="L60" s="9"/>
      <c r="M60" s="9"/>
      <c r="N60" s="9"/>
      <c r="O60" s="9"/>
      <c r="P60" s="9"/>
      <c r="Q60" s="9"/>
      <c r="R60" s="9"/>
      <c r="S60" s="9"/>
    </row>
    <row r="61" spans="1:19" ht="12.75">
      <c r="A61" s="106" t="s">
        <v>59</v>
      </c>
      <c r="B61" s="114" t="e">
        <f>((B60*(170.18/G7)-207.21)/13.74)</f>
        <v>#NUM!</v>
      </c>
      <c r="C61" s="107"/>
      <c r="D61" s="107"/>
      <c r="E61" s="108"/>
      <c r="F61" s="103"/>
      <c r="G61" s="146" t="s">
        <v>95</v>
      </c>
      <c r="H61" s="147" t="e">
        <f>I53/($G$7/100)^2</f>
        <v>#NUM!</v>
      </c>
      <c r="I61" s="142"/>
      <c r="J61" s="9"/>
      <c r="K61" s="9"/>
      <c r="L61" s="9"/>
      <c r="M61" s="9"/>
      <c r="N61" s="9"/>
      <c r="O61" s="9"/>
      <c r="P61" s="9"/>
      <c r="Q61" s="9"/>
      <c r="R61" s="9"/>
      <c r="S61" s="9"/>
    </row>
    <row r="62" spans="1:19" ht="12.75">
      <c r="A62" s="115" t="s">
        <v>61</v>
      </c>
      <c r="B62" s="116" t="e">
        <f>((B61*5.4)+24.5)/(170.18/G7)^3</f>
        <v>#NUM!</v>
      </c>
      <c r="C62" s="117" t="e">
        <f>B62/B80</f>
        <v>#NUM!</v>
      </c>
      <c r="D62" s="114" t="e">
        <f>B81*C62</f>
        <v>#NUM!</v>
      </c>
      <c r="E62" s="118" t="e">
        <f>B62-D62</f>
        <v>#NUM!</v>
      </c>
      <c r="F62" s="119"/>
      <c r="G62" s="146" t="s">
        <v>87</v>
      </c>
      <c r="H62" s="147" t="e">
        <f>I54/($G$7/100)^2</f>
        <v>#NUM!</v>
      </c>
      <c r="I62" s="142"/>
      <c r="J62" s="9"/>
      <c r="K62" s="9"/>
      <c r="L62" s="9"/>
      <c r="M62" s="9"/>
      <c r="N62" s="9"/>
      <c r="O62" s="9"/>
      <c r="P62" s="9"/>
      <c r="Q62" s="9"/>
      <c r="R62" s="9"/>
      <c r="S62" s="9"/>
    </row>
    <row r="63" spans="1:19" ht="12.75">
      <c r="A63" s="106"/>
      <c r="B63" s="107"/>
      <c r="C63" s="107"/>
      <c r="D63" s="107"/>
      <c r="E63" s="108"/>
      <c r="F63" s="103"/>
      <c r="G63" s="146"/>
      <c r="H63" s="147"/>
      <c r="I63" s="142"/>
      <c r="J63" s="9"/>
      <c r="K63" s="9"/>
      <c r="L63" s="9"/>
      <c r="M63" s="9"/>
      <c r="N63" s="9"/>
      <c r="O63" s="9"/>
      <c r="P63" s="9"/>
      <c r="Q63" s="9"/>
      <c r="R63" s="9"/>
      <c r="S63" s="9"/>
    </row>
    <row r="64" spans="1:19" ht="12.75">
      <c r="A64" s="106" t="s">
        <v>62</v>
      </c>
      <c r="B64" s="107"/>
      <c r="C64" s="107"/>
      <c r="D64" s="107"/>
      <c r="E64" s="108"/>
      <c r="F64" s="103"/>
      <c r="G64" s="146" t="s">
        <v>96</v>
      </c>
      <c r="H64" s="147" t="e">
        <f>I51/I53</f>
        <v>#NUM!</v>
      </c>
      <c r="I64" s="142"/>
      <c r="J64" s="9"/>
      <c r="K64" s="9"/>
      <c r="L64" s="9"/>
      <c r="M64" s="9"/>
      <c r="N64" s="9"/>
      <c r="O64" s="9"/>
      <c r="P64" s="9"/>
      <c r="Q64" s="9"/>
      <c r="R64" s="9"/>
      <c r="S64" s="9"/>
    </row>
    <row r="65" spans="1:19" ht="12.75">
      <c r="A65" s="106" t="s">
        <v>63</v>
      </c>
      <c r="B65" s="148" t="e">
        <f>G22-(G31*0.3141)</f>
        <v>#NUM!</v>
      </c>
      <c r="C65" s="107"/>
      <c r="D65" s="107"/>
      <c r="E65" s="108"/>
      <c r="F65" s="103"/>
      <c r="G65" s="146" t="s">
        <v>97</v>
      </c>
      <c r="H65" s="147" t="e">
        <f>I51/(I55-I51)</f>
        <v>#NUM!</v>
      </c>
      <c r="I65" s="142"/>
      <c r="J65" s="9"/>
      <c r="K65" s="9"/>
      <c r="L65" s="9"/>
      <c r="M65" s="9"/>
      <c r="N65" s="9"/>
      <c r="O65" s="9"/>
      <c r="P65" s="9"/>
      <c r="Q65" s="9"/>
      <c r="R65" s="9"/>
      <c r="S65" s="9"/>
    </row>
    <row r="66" spans="1:19" ht="13.5" thickBot="1">
      <c r="A66" s="106" t="s">
        <v>64</v>
      </c>
      <c r="B66" s="148" t="e">
        <f>G11+G12+B65</f>
        <v>#NUM!</v>
      </c>
      <c r="C66" s="107"/>
      <c r="D66" s="107"/>
      <c r="E66" s="108"/>
      <c r="F66" s="103"/>
      <c r="G66" s="149" t="s">
        <v>98</v>
      </c>
      <c r="H66" s="150" t="e">
        <f>(I55-I51)*1000/(G7)^2</f>
        <v>#NUM!</v>
      </c>
      <c r="I66" s="142"/>
      <c r="J66" s="9"/>
      <c r="K66" s="9"/>
      <c r="L66" s="9"/>
      <c r="M66" s="9"/>
      <c r="N66" s="9"/>
      <c r="O66" s="9"/>
      <c r="P66" s="9"/>
      <c r="Q66" s="9"/>
      <c r="R66" s="9"/>
      <c r="S66" s="9"/>
    </row>
    <row r="67" spans="1:19" ht="17.25" thickBot="1">
      <c r="A67" s="106" t="s">
        <v>65</v>
      </c>
      <c r="B67" s="148" t="e">
        <f>((B66*(89.92/G8)-109.35)/7.08)</f>
        <v>#NUM!</v>
      </c>
      <c r="C67" s="107"/>
      <c r="D67" s="107"/>
      <c r="E67" s="108"/>
      <c r="F67" s="140"/>
      <c r="G67" s="151" t="s">
        <v>124</v>
      </c>
      <c r="H67" s="142"/>
      <c r="I67" s="142"/>
      <c r="J67" s="9"/>
      <c r="K67" s="9"/>
      <c r="L67" s="9"/>
      <c r="M67" s="9"/>
      <c r="N67" s="9"/>
      <c r="O67" s="9"/>
      <c r="P67" s="9"/>
      <c r="Q67" s="9"/>
      <c r="R67" s="9"/>
      <c r="S67" s="9"/>
    </row>
    <row r="68" spans="1:19" ht="15.75" thickBot="1">
      <c r="A68" s="115" t="s">
        <v>66</v>
      </c>
      <c r="B68" s="116" t="e">
        <f>((B67*1.24)+6.1)/(89.92/G8)^3</f>
        <v>#NUM!</v>
      </c>
      <c r="C68" s="117" t="e">
        <f>B68/B80</f>
        <v>#NUM!</v>
      </c>
      <c r="D68" s="114" t="e">
        <f>B81*C68</f>
        <v>#NUM!</v>
      </c>
      <c r="E68" s="118" t="e">
        <f>B68-D68</f>
        <v>#NUM!</v>
      </c>
      <c r="F68" s="152"/>
      <c r="G68" s="153" t="s">
        <v>123</v>
      </c>
      <c r="H68" s="154" t="e">
        <f>B85</f>
        <v>#NUM!</v>
      </c>
      <c r="I68" s="155" t="e">
        <f>D85</f>
        <v>#NUM!</v>
      </c>
      <c r="J68" s="9"/>
      <c r="K68" s="9"/>
      <c r="L68" s="9"/>
      <c r="M68" s="9"/>
      <c r="N68" s="9"/>
      <c r="O68" s="9"/>
      <c r="P68" s="9"/>
      <c r="Q68" s="9"/>
      <c r="R68" s="9"/>
      <c r="S68" s="9"/>
    </row>
    <row r="69" spans="1:30" ht="15.75" thickBot="1">
      <c r="A69" s="106"/>
      <c r="B69" s="107"/>
      <c r="C69" s="107"/>
      <c r="D69" s="107"/>
      <c r="E69" s="108"/>
      <c r="F69" s="140"/>
      <c r="G69" s="156" t="s">
        <v>122</v>
      </c>
      <c r="H69" s="157" t="e">
        <f>B86</f>
        <v>#NUM!</v>
      </c>
      <c r="I69" s="158" t="e">
        <f>D86</f>
        <v>#NUM!</v>
      </c>
      <c r="J69" s="9"/>
      <c r="K69" s="9"/>
      <c r="L69" s="9"/>
      <c r="M69" s="9"/>
      <c r="N69" s="9"/>
      <c r="O69" s="9"/>
      <c r="P69" s="9"/>
      <c r="Q69" s="9"/>
      <c r="R69" s="9"/>
      <c r="S69" s="9"/>
      <c r="U69" s="224"/>
      <c r="Z69" s="494" t="s">
        <v>289</v>
      </c>
      <c r="AA69" s="495"/>
      <c r="AB69" s="495"/>
      <c r="AC69" s="496"/>
      <c r="AD69" s="497" t="s">
        <v>421</v>
      </c>
    </row>
    <row r="70" spans="1:30" ht="15">
      <c r="A70" s="106" t="s">
        <v>67</v>
      </c>
      <c r="B70" s="107"/>
      <c r="C70" s="107"/>
      <c r="D70" s="107"/>
      <c r="E70" s="108"/>
      <c r="F70" s="140"/>
      <c r="G70" s="156"/>
      <c r="H70" s="157"/>
      <c r="I70" s="158"/>
      <c r="J70" s="9"/>
      <c r="K70" s="9"/>
      <c r="L70" s="9"/>
      <c r="M70" s="9"/>
      <c r="N70" s="9"/>
      <c r="O70" s="9"/>
      <c r="P70" s="9"/>
      <c r="Q70" s="9"/>
      <c r="R70" s="9"/>
      <c r="S70" s="9"/>
      <c r="U70" s="224"/>
      <c r="V70" s="494" t="s">
        <v>288</v>
      </c>
      <c r="W70" s="495"/>
      <c r="X70" s="495"/>
      <c r="Y70" s="496"/>
      <c r="Z70" s="492" t="s">
        <v>290</v>
      </c>
      <c r="AA70" s="493"/>
      <c r="AB70" s="489" t="s">
        <v>291</v>
      </c>
      <c r="AC70" s="498"/>
      <c r="AD70" s="490"/>
    </row>
    <row r="71" spans="1:30" ht="15.75" thickBot="1">
      <c r="A71" s="106" t="s">
        <v>68</v>
      </c>
      <c r="B71" s="148" t="e">
        <f>(G17-56)/1.44</f>
        <v>#NUM!</v>
      </c>
      <c r="C71" s="107"/>
      <c r="D71" s="107"/>
      <c r="E71" s="108"/>
      <c r="F71" s="140"/>
      <c r="G71" s="156" t="s">
        <v>121</v>
      </c>
      <c r="H71" s="157" t="e">
        <f>B88</f>
        <v>#NUM!</v>
      </c>
      <c r="I71" s="158" t="e">
        <f>D88</f>
        <v>#NUM!</v>
      </c>
      <c r="J71" s="9"/>
      <c r="K71" s="9"/>
      <c r="L71" s="9"/>
      <c r="M71" s="9"/>
      <c r="N71" s="9"/>
      <c r="O71" s="9"/>
      <c r="P71" s="9"/>
      <c r="Q71" s="9"/>
      <c r="R71" s="9"/>
      <c r="S71" s="9"/>
      <c r="V71" s="492" t="s">
        <v>290</v>
      </c>
      <c r="W71" s="493"/>
      <c r="X71" s="489" t="s">
        <v>291</v>
      </c>
      <c r="Y71" s="498"/>
      <c r="Z71" s="201" t="s">
        <v>301</v>
      </c>
      <c r="AA71" s="295" t="s">
        <v>302</v>
      </c>
      <c r="AB71" s="295" t="s">
        <v>301</v>
      </c>
      <c r="AC71" s="456" t="s">
        <v>302</v>
      </c>
      <c r="AD71" s="490"/>
    </row>
    <row r="72" spans="1:30" ht="15.75" thickBot="1">
      <c r="A72" s="106" t="s">
        <v>70</v>
      </c>
      <c r="B72" s="148" t="e">
        <f>(B71*0.18)+1.2</f>
        <v>#NUM!</v>
      </c>
      <c r="C72" s="159" t="e">
        <f>B72/B80</f>
        <v>#NUM!</v>
      </c>
      <c r="D72" s="114" t="e">
        <f>B81*C72</f>
        <v>#NUM!</v>
      </c>
      <c r="E72" s="118" t="e">
        <f>B72-D72</f>
        <v>#NUM!</v>
      </c>
      <c r="F72" s="152"/>
      <c r="G72" s="156" t="s">
        <v>120</v>
      </c>
      <c r="H72" s="157" t="e">
        <f>B89</f>
        <v>#NUM!</v>
      </c>
      <c r="I72" s="158" t="e">
        <f>D89</f>
        <v>#NUM!</v>
      </c>
      <c r="J72" s="9"/>
      <c r="K72" s="9"/>
      <c r="L72" s="9"/>
      <c r="M72" s="9"/>
      <c r="N72" s="9"/>
      <c r="O72" s="9"/>
      <c r="P72" s="9"/>
      <c r="Q72" s="9"/>
      <c r="R72" s="9"/>
      <c r="S72" s="9"/>
      <c r="U72" s="297">
        <v>1</v>
      </c>
      <c r="V72" s="201" t="s">
        <v>301</v>
      </c>
      <c r="W72" s="295" t="s">
        <v>302</v>
      </c>
      <c r="X72" s="295" t="s">
        <v>301</v>
      </c>
      <c r="Y72" s="296" t="s">
        <v>302</v>
      </c>
      <c r="Z72" s="292">
        <v>0.4</v>
      </c>
      <c r="AA72" s="293"/>
      <c r="AB72" s="293">
        <v>0.7</v>
      </c>
      <c r="AC72" s="457"/>
      <c r="AD72" s="490"/>
    </row>
    <row r="73" spans="1:30" ht="15">
      <c r="A73" s="106"/>
      <c r="B73" s="148"/>
      <c r="C73" s="107"/>
      <c r="D73" s="107"/>
      <c r="E73" s="108"/>
      <c r="F73" s="140"/>
      <c r="G73" s="156"/>
      <c r="H73" s="157"/>
      <c r="I73" s="158"/>
      <c r="J73" s="9"/>
      <c r="K73" s="9"/>
      <c r="L73" s="9"/>
      <c r="M73" s="9"/>
      <c r="N73" s="9"/>
      <c r="O73" s="9"/>
      <c r="P73" s="9"/>
      <c r="Q73" s="9"/>
      <c r="R73" s="9"/>
      <c r="S73" s="9"/>
      <c r="U73" s="298">
        <v>2</v>
      </c>
      <c r="V73" s="292">
        <v>0.36</v>
      </c>
      <c r="W73" s="293"/>
      <c r="X73" s="293">
        <v>0.55</v>
      </c>
      <c r="Y73" s="294"/>
      <c r="Z73" s="287">
        <v>0.4</v>
      </c>
      <c r="AA73" s="286">
        <v>0.55</v>
      </c>
      <c r="AB73" s="286">
        <v>0.7</v>
      </c>
      <c r="AC73" s="450">
        <v>0.84</v>
      </c>
      <c r="AD73" s="490"/>
    </row>
    <row r="74" spans="1:30" ht="15">
      <c r="A74" s="106" t="s">
        <v>69</v>
      </c>
      <c r="B74" s="148" t="e">
        <f>SUM(G10,G13,(G14*2),(G15*2))</f>
        <v>#NUM!</v>
      </c>
      <c r="C74" s="107"/>
      <c r="D74" s="107"/>
      <c r="E74" s="108"/>
      <c r="F74" s="140"/>
      <c r="G74" s="156" t="s">
        <v>119</v>
      </c>
      <c r="H74" s="157" t="e">
        <f>B91</f>
        <v>#REF!</v>
      </c>
      <c r="I74" s="158" t="e">
        <f>D91</f>
        <v>#REF!</v>
      </c>
      <c r="J74" s="9"/>
      <c r="K74" s="9"/>
      <c r="L74" s="9"/>
      <c r="M74" s="9"/>
      <c r="N74" s="9"/>
      <c r="O74" s="9"/>
      <c r="P74" s="9"/>
      <c r="Q74" s="9"/>
      <c r="R74" s="9"/>
      <c r="S74" s="9"/>
      <c r="U74" s="298">
        <v>3</v>
      </c>
      <c r="V74" s="287">
        <v>0.36</v>
      </c>
      <c r="W74" s="286">
        <v>0.41</v>
      </c>
      <c r="X74" s="286">
        <v>0.55</v>
      </c>
      <c r="Y74" s="288">
        <v>0.7</v>
      </c>
      <c r="Z74" s="287">
        <v>0.55</v>
      </c>
      <c r="AA74" s="286">
        <v>0.75</v>
      </c>
      <c r="AB74" s="286">
        <v>0.85</v>
      </c>
      <c r="AC74" s="450">
        <v>1.1</v>
      </c>
      <c r="AD74" s="490"/>
    </row>
    <row r="75" spans="1:30" ht="15">
      <c r="A75" s="106" t="s">
        <v>71</v>
      </c>
      <c r="B75" s="148" t="e">
        <f>((B74*(170.18/G7))-98.88)/5.33</f>
        <v>#NUM!</v>
      </c>
      <c r="C75" s="107"/>
      <c r="D75" s="107"/>
      <c r="E75" s="108"/>
      <c r="F75" s="140"/>
      <c r="G75" s="156" t="s">
        <v>118</v>
      </c>
      <c r="H75" s="157" t="e">
        <f>B92</f>
        <v>#REF!</v>
      </c>
      <c r="I75" s="158" t="e">
        <f>D92</f>
        <v>#REF!</v>
      </c>
      <c r="J75" s="9"/>
      <c r="K75" s="9"/>
      <c r="L75" s="9"/>
      <c r="M75" s="9"/>
      <c r="N75" s="9"/>
      <c r="O75" s="9"/>
      <c r="P75" s="9"/>
      <c r="Q75" s="9"/>
      <c r="R75" s="9"/>
      <c r="S75" s="9"/>
      <c r="U75" s="298">
        <v>4</v>
      </c>
      <c r="V75" s="287">
        <v>0.42</v>
      </c>
      <c r="W75" s="286">
        <v>0.54</v>
      </c>
      <c r="X75" s="286">
        <v>0.71</v>
      </c>
      <c r="Y75" s="288">
        <v>0.88</v>
      </c>
      <c r="Z75" s="287">
        <v>0.75</v>
      </c>
      <c r="AA75" s="286">
        <v>0.95</v>
      </c>
      <c r="AB75" s="286">
        <v>1.1</v>
      </c>
      <c r="AC75" s="450">
        <v>1.45</v>
      </c>
      <c r="AD75" s="490"/>
    </row>
    <row r="76" spans="1:30" ht="15.75" thickBot="1">
      <c r="A76" s="106" t="s">
        <v>72</v>
      </c>
      <c r="B76" s="148" t="e">
        <f>((B75*1.34)+6.7)/(170.18/G7)^3</f>
        <v>#NUM!</v>
      </c>
      <c r="C76" s="159" t="e">
        <f>B76/B80</f>
        <v>#NUM!</v>
      </c>
      <c r="D76" s="114" t="e">
        <f>B81*C76</f>
        <v>#NUM!</v>
      </c>
      <c r="E76" s="118" t="e">
        <f>B76-D76</f>
        <v>#NUM!</v>
      </c>
      <c r="F76" s="152"/>
      <c r="G76" s="156"/>
      <c r="H76" s="157"/>
      <c r="I76" s="158"/>
      <c r="J76" s="9"/>
      <c r="K76" s="9"/>
      <c r="L76" s="9"/>
      <c r="M76" s="9"/>
      <c r="N76" s="9"/>
      <c r="O76" s="9"/>
      <c r="P76" s="9"/>
      <c r="Q76" s="9"/>
      <c r="R76" s="9"/>
      <c r="S76" s="9"/>
      <c r="U76" s="299">
        <v>5</v>
      </c>
      <c r="V76" s="287">
        <v>0.55</v>
      </c>
      <c r="W76" s="286">
        <v>0.65</v>
      </c>
      <c r="X76" s="286">
        <v>0.89</v>
      </c>
      <c r="Y76" s="288">
        <v>1.06</v>
      </c>
      <c r="Z76" s="289">
        <v>0.95</v>
      </c>
      <c r="AA76" s="290"/>
      <c r="AB76" s="290">
        <v>1.45</v>
      </c>
      <c r="AC76" s="458"/>
      <c r="AD76" s="491"/>
    </row>
    <row r="77" spans="1:25" ht="15.75" thickBot="1">
      <c r="A77" s="106"/>
      <c r="B77" s="148"/>
      <c r="C77" s="107"/>
      <c r="D77" s="107"/>
      <c r="E77" s="108"/>
      <c r="F77" s="140"/>
      <c r="G77" s="156" t="s">
        <v>117</v>
      </c>
      <c r="H77" s="157" t="e">
        <f>B94</f>
        <v>#NUM!</v>
      </c>
      <c r="I77" s="158" t="e">
        <f>D94</f>
        <v>#NUM!</v>
      </c>
      <c r="J77" s="9"/>
      <c r="K77" s="9"/>
      <c r="L77" s="9"/>
      <c r="M77" s="9"/>
      <c r="N77" s="9"/>
      <c r="O77" s="9"/>
      <c r="P77" s="9"/>
      <c r="Q77" s="9"/>
      <c r="R77" s="9"/>
      <c r="S77" s="9"/>
      <c r="V77" s="289">
        <v>0.65</v>
      </c>
      <c r="W77" s="290"/>
      <c r="X77" s="290">
        <v>1.06</v>
      </c>
      <c r="Y77" s="291"/>
    </row>
    <row r="78" spans="1:19" ht="15">
      <c r="A78" s="115" t="s">
        <v>73</v>
      </c>
      <c r="B78" s="116" t="e">
        <f>B72+B76</f>
        <v>#NUM!</v>
      </c>
      <c r="C78" s="117" t="e">
        <f>B78/B80</f>
        <v>#NUM!</v>
      </c>
      <c r="D78" s="114" t="e">
        <f>B81*C78</f>
        <v>#NUM!</v>
      </c>
      <c r="E78" s="118" t="e">
        <f>B78-D78</f>
        <v>#NUM!</v>
      </c>
      <c r="F78" s="152"/>
      <c r="G78" s="156" t="s">
        <v>116</v>
      </c>
      <c r="H78" s="157" t="e">
        <f>B95</f>
        <v>#NUM!</v>
      </c>
      <c r="I78" s="158" t="e">
        <f>D95</f>
        <v>#NUM!</v>
      </c>
      <c r="J78" s="9"/>
      <c r="K78" s="9"/>
      <c r="L78" s="9"/>
      <c r="M78" s="9"/>
      <c r="N78" s="9"/>
      <c r="O78" s="9"/>
      <c r="P78" s="9"/>
      <c r="Q78" s="9"/>
      <c r="R78" s="9"/>
      <c r="S78" s="9"/>
    </row>
    <row r="79" spans="1:19" ht="15.75" thickBot="1">
      <c r="A79" s="106"/>
      <c r="B79" s="148"/>
      <c r="C79" s="107"/>
      <c r="D79" s="107"/>
      <c r="E79" s="108"/>
      <c r="F79" s="140"/>
      <c r="G79" s="156"/>
      <c r="H79" s="157"/>
      <c r="I79" s="158"/>
      <c r="J79" s="9"/>
      <c r="K79" s="9"/>
      <c r="L79" s="9"/>
      <c r="M79" s="9"/>
      <c r="N79" s="9"/>
      <c r="O79" s="9"/>
      <c r="P79" s="9"/>
      <c r="Q79" s="9"/>
      <c r="R79" s="9"/>
      <c r="S79" s="9"/>
    </row>
    <row r="80" spans="1:30" ht="15.75" thickBot="1">
      <c r="A80" s="115" t="s">
        <v>74</v>
      </c>
      <c r="B80" s="160" t="e">
        <f>SUM(B47,B52,B62,B68,B72,B76)</f>
        <v>#NUM!</v>
      </c>
      <c r="C80" s="117" t="e">
        <f>SUM(C47,C52,C62,C68,C72,C76,)</f>
        <v>#NUM!</v>
      </c>
      <c r="D80" s="114" t="e">
        <f>SUM(D47,D52,D62,D68,D72,D76,)</f>
        <v>#NUM!</v>
      </c>
      <c r="E80" s="118" t="e">
        <f>SUM(E47,E52,E62,E68,E72,E76)</f>
        <v>#NUM!</v>
      </c>
      <c r="F80" s="152"/>
      <c r="G80" s="156" t="s">
        <v>115</v>
      </c>
      <c r="H80" s="157" t="e">
        <f>B97</f>
        <v>#NUM!</v>
      </c>
      <c r="I80" s="158" t="e">
        <f>D97</f>
        <v>#NUM!</v>
      </c>
      <c r="J80" s="9"/>
      <c r="K80" s="9"/>
      <c r="L80" s="9"/>
      <c r="M80" s="9"/>
      <c r="N80" s="9"/>
      <c r="O80" s="9"/>
      <c r="P80" s="9"/>
      <c r="Q80" s="9"/>
      <c r="R80" s="9"/>
      <c r="S80" s="9"/>
      <c r="U80" s="224"/>
      <c r="Z80" s="494" t="s">
        <v>289</v>
      </c>
      <c r="AA80" s="495"/>
      <c r="AB80" s="495"/>
      <c r="AC80" s="496"/>
      <c r="AD80" s="497" t="s">
        <v>422</v>
      </c>
    </row>
    <row r="81" spans="1:30" ht="15">
      <c r="A81" s="106" t="s">
        <v>75</v>
      </c>
      <c r="B81" s="148" t="e">
        <f>B80-G6</f>
        <v>#NUM!</v>
      </c>
      <c r="C81" s="107"/>
      <c r="D81" s="114" t="e">
        <f>B81-D80</f>
        <v>#NUM!</v>
      </c>
      <c r="E81" s="161" t="e">
        <f>E80-G6</f>
        <v>#NUM!</v>
      </c>
      <c r="F81" s="162"/>
      <c r="G81" s="156" t="s">
        <v>114</v>
      </c>
      <c r="H81" s="157" t="e">
        <f>B98</f>
        <v>#NUM!</v>
      </c>
      <c r="I81" s="158" t="e">
        <f>D98</f>
        <v>#NUM!</v>
      </c>
      <c r="J81" s="449"/>
      <c r="K81" s="449"/>
      <c r="L81" s="449"/>
      <c r="M81" s="449"/>
      <c r="N81" s="449"/>
      <c r="O81" s="449"/>
      <c r="P81" s="449"/>
      <c r="Q81" s="449"/>
      <c r="R81" s="449"/>
      <c r="S81" s="449"/>
      <c r="U81" s="224"/>
      <c r="V81" s="494" t="s">
        <v>288</v>
      </c>
      <c r="W81" s="495"/>
      <c r="X81" s="495"/>
      <c r="Y81" s="496"/>
      <c r="Z81" s="492" t="s">
        <v>290</v>
      </c>
      <c r="AA81" s="493"/>
      <c r="AB81" s="489" t="s">
        <v>291</v>
      </c>
      <c r="AC81" s="498"/>
      <c r="AD81" s="490"/>
    </row>
    <row r="82" spans="1:30" ht="15.75" thickBot="1">
      <c r="A82" s="163" t="s">
        <v>76</v>
      </c>
      <c r="B82" s="164" t="e">
        <f>$B$81/$G$6</f>
        <v>#NUM!</v>
      </c>
      <c r="C82" s="165"/>
      <c r="D82" s="165"/>
      <c r="E82" s="166"/>
      <c r="F82" s="103"/>
      <c r="G82" s="167"/>
      <c r="H82" s="168"/>
      <c r="I82" s="169"/>
      <c r="J82" s="449"/>
      <c r="K82" s="449"/>
      <c r="L82" s="449"/>
      <c r="M82" s="449"/>
      <c r="N82" s="449"/>
      <c r="O82" s="449"/>
      <c r="P82" s="449"/>
      <c r="Q82" s="449"/>
      <c r="R82" s="449"/>
      <c r="S82" s="449"/>
      <c r="V82" s="492" t="s">
        <v>290</v>
      </c>
      <c r="W82" s="493"/>
      <c r="X82" s="489" t="s">
        <v>291</v>
      </c>
      <c r="Y82" s="498"/>
      <c r="Z82" s="201" t="s">
        <v>301</v>
      </c>
      <c r="AA82" s="295" t="s">
        <v>302</v>
      </c>
      <c r="AB82" s="295" t="s">
        <v>301</v>
      </c>
      <c r="AC82" s="456" t="s">
        <v>302</v>
      </c>
      <c r="AD82" s="490"/>
    </row>
    <row r="83" spans="1:30" ht="13.5" thickBot="1">
      <c r="A83" s="9"/>
      <c r="B83" s="9"/>
      <c r="C83" s="9"/>
      <c r="D83" s="9"/>
      <c r="E83" s="9"/>
      <c r="F83" s="9"/>
      <c r="G83" s="9"/>
      <c r="H83" s="9"/>
      <c r="I83" s="9"/>
      <c r="J83" s="9"/>
      <c r="K83" s="9"/>
      <c r="L83" s="9"/>
      <c r="M83" s="9"/>
      <c r="N83" s="9"/>
      <c r="O83" s="9"/>
      <c r="P83" s="9"/>
      <c r="Q83" s="9"/>
      <c r="R83" s="9"/>
      <c r="S83" s="9"/>
      <c r="U83" s="297">
        <v>1</v>
      </c>
      <c r="V83" s="201" t="s">
        <v>301</v>
      </c>
      <c r="W83" s="295" t="s">
        <v>302</v>
      </c>
      <c r="X83" s="295" t="s">
        <v>301</v>
      </c>
      <c r="Y83" s="296" t="s">
        <v>302</v>
      </c>
      <c r="Z83" s="292">
        <v>4.45</v>
      </c>
      <c r="AA83" s="293"/>
      <c r="AB83" s="293">
        <v>4.15</v>
      </c>
      <c r="AC83" s="457"/>
      <c r="AD83" s="490"/>
    </row>
    <row r="84" spans="1:30" ht="12.75">
      <c r="A84" s="9" t="s">
        <v>111</v>
      </c>
      <c r="B84" s="9" t="s">
        <v>112</v>
      </c>
      <c r="C84" s="9" t="s">
        <v>113</v>
      </c>
      <c r="D84" s="89" t="s">
        <v>110</v>
      </c>
      <c r="E84" s="9"/>
      <c r="F84" s="9"/>
      <c r="G84" s="9"/>
      <c r="H84" s="9"/>
      <c r="I84" s="9"/>
      <c r="J84" s="9"/>
      <c r="K84" s="9"/>
      <c r="L84" s="9"/>
      <c r="M84" s="9"/>
      <c r="N84" s="9"/>
      <c r="O84" s="9"/>
      <c r="P84" s="9"/>
      <c r="Q84" s="9"/>
      <c r="R84" s="9"/>
      <c r="S84" s="9"/>
      <c r="U84" s="298">
        <v>2</v>
      </c>
      <c r="V84" s="292">
        <v>4.55</v>
      </c>
      <c r="W84" s="293"/>
      <c r="X84" s="293">
        <v>4.3</v>
      </c>
      <c r="Y84" s="294"/>
      <c r="Z84" s="287">
        <v>4.11</v>
      </c>
      <c r="AA84" s="286">
        <v>4.45</v>
      </c>
      <c r="AB84" s="286">
        <v>3.76</v>
      </c>
      <c r="AC84" s="450">
        <v>4.15</v>
      </c>
      <c r="AD84" s="490"/>
    </row>
    <row r="85" spans="1:30" ht="12.75">
      <c r="A85" s="9" t="s">
        <v>100</v>
      </c>
      <c r="B85" s="9" t="e">
        <f>((G18-((G28+#REF!)/20)*3.1415927)/(2*3.1415927))^2*3.1415927</f>
        <v>#NUM!</v>
      </c>
      <c r="C85" s="9">
        <v>72.194</v>
      </c>
      <c r="D85" s="170" t="e">
        <f>(B85-C85)*100/C85</f>
        <v>#NUM!</v>
      </c>
      <c r="E85" s="9"/>
      <c r="F85" s="9"/>
      <c r="G85" s="9"/>
      <c r="H85" s="9"/>
      <c r="I85" s="9"/>
      <c r="J85" s="9"/>
      <c r="K85" s="9"/>
      <c r="L85" s="9"/>
      <c r="M85" s="9"/>
      <c r="N85" s="9"/>
      <c r="O85" s="9"/>
      <c r="P85" s="9"/>
      <c r="Q85" s="9"/>
      <c r="R85" s="9"/>
      <c r="S85" s="9"/>
      <c r="U85" s="298">
        <v>3</v>
      </c>
      <c r="V85" s="287">
        <v>4.21</v>
      </c>
      <c r="W85" s="286">
        <v>4.55</v>
      </c>
      <c r="X85" s="286">
        <v>3.91</v>
      </c>
      <c r="Y85" s="288">
        <v>4.3</v>
      </c>
      <c r="Z85" s="287">
        <v>3.7</v>
      </c>
      <c r="AA85" s="286">
        <v>4.1</v>
      </c>
      <c r="AB85" s="286">
        <v>3.35</v>
      </c>
      <c r="AC85" s="450">
        <v>3.75</v>
      </c>
      <c r="AD85" s="490"/>
    </row>
    <row r="86" spans="1:30" ht="12.75">
      <c r="A86" s="9" t="s">
        <v>101</v>
      </c>
      <c r="B86" s="9" t="e">
        <f>((G18/(2*3.1415927))^2*3.1415927)-B85</f>
        <v>#NUM!</v>
      </c>
      <c r="C86" s="9">
        <v>9.039</v>
      </c>
      <c r="D86" s="170" t="e">
        <f>(B86-C86)*100/C86</f>
        <v>#NUM!</v>
      </c>
      <c r="E86" s="9"/>
      <c r="F86" s="9"/>
      <c r="G86" s="9"/>
      <c r="H86" s="9"/>
      <c r="I86" s="9"/>
      <c r="J86" s="9"/>
      <c r="K86" s="9"/>
      <c r="L86" s="9"/>
      <c r="M86" s="9"/>
      <c r="N86" s="9"/>
      <c r="O86" s="9"/>
      <c r="P86" s="9"/>
      <c r="Q86" s="9"/>
      <c r="R86" s="9"/>
      <c r="S86" s="9"/>
      <c r="U86" s="298">
        <v>4</v>
      </c>
      <c r="V86" s="287">
        <v>3.8</v>
      </c>
      <c r="W86" s="286">
        <v>4.2</v>
      </c>
      <c r="X86" s="286">
        <v>3.5</v>
      </c>
      <c r="Y86" s="288">
        <v>3.9</v>
      </c>
      <c r="Z86" s="287">
        <v>3.4</v>
      </c>
      <c r="AA86" s="286">
        <v>3.69</v>
      </c>
      <c r="AB86" s="286">
        <v>2.95</v>
      </c>
      <c r="AC86" s="450">
        <v>3.34</v>
      </c>
      <c r="AD86" s="490"/>
    </row>
    <row r="87" spans="1:30" ht="13.5" thickBot="1">
      <c r="A87" s="9"/>
      <c r="B87" s="9"/>
      <c r="C87" s="9"/>
      <c r="D87" s="170"/>
      <c r="E87" s="9"/>
      <c r="F87" s="9"/>
      <c r="G87" s="9"/>
      <c r="H87" s="9"/>
      <c r="I87" s="9"/>
      <c r="J87" s="9"/>
      <c r="K87" s="9"/>
      <c r="L87" s="9"/>
      <c r="M87" s="9"/>
      <c r="N87" s="9"/>
      <c r="O87" s="9"/>
      <c r="P87" s="9"/>
      <c r="Q87" s="9"/>
      <c r="R87" s="9"/>
      <c r="S87" s="9"/>
      <c r="U87" s="299">
        <v>5</v>
      </c>
      <c r="V87" s="287">
        <v>3.5</v>
      </c>
      <c r="W87" s="286">
        <v>3.79</v>
      </c>
      <c r="X87" s="286">
        <v>3.1</v>
      </c>
      <c r="Y87" s="288">
        <v>3.49</v>
      </c>
      <c r="Z87" s="289">
        <v>3.4</v>
      </c>
      <c r="AA87" s="290"/>
      <c r="AB87" s="290">
        <v>2.95</v>
      </c>
      <c r="AC87" s="458"/>
      <c r="AD87" s="491"/>
    </row>
    <row r="88" spans="1:25" ht="13.5" thickBot="1">
      <c r="A88" s="9" t="s">
        <v>102</v>
      </c>
      <c r="B88" s="9" t="e">
        <f>((G20-(#REF!*3.1415927/10))/(2*3.1415927))^2*3.1415927</f>
        <v>#NUM!</v>
      </c>
      <c r="C88" s="9">
        <v>0</v>
      </c>
      <c r="D88" s="170" t="e">
        <f>(B88-C88)*100/C88</f>
        <v>#NUM!</v>
      </c>
      <c r="E88" s="9"/>
      <c r="F88" s="9"/>
      <c r="G88" s="9"/>
      <c r="H88" s="9"/>
      <c r="I88" s="9"/>
      <c r="J88" s="9"/>
      <c r="K88" s="9"/>
      <c r="L88" s="9"/>
      <c r="M88" s="9"/>
      <c r="N88" s="9"/>
      <c r="O88" s="9"/>
      <c r="P88" s="9"/>
      <c r="Q88" s="9"/>
      <c r="R88" s="9"/>
      <c r="S88" s="9"/>
      <c r="V88" s="289">
        <v>3.5</v>
      </c>
      <c r="W88" s="290"/>
      <c r="X88" s="290">
        <v>3.1</v>
      </c>
      <c r="Y88" s="291"/>
    </row>
    <row r="89" spans="1:19" ht="12.75">
      <c r="A89" s="9" t="s">
        <v>109</v>
      </c>
      <c r="B89" s="9" t="e">
        <f>((G20/(2*3.1415927))^2*3.1415927)-B88</f>
        <v>#NUM!</v>
      </c>
      <c r="C89" s="9">
        <v>0</v>
      </c>
      <c r="D89" s="170" t="e">
        <f>(B89-C89)*100/C89</f>
        <v>#NUM!</v>
      </c>
      <c r="E89" s="9"/>
      <c r="F89" s="9"/>
      <c r="G89" s="9"/>
      <c r="H89" s="9"/>
      <c r="I89" s="9"/>
      <c r="J89" s="9"/>
      <c r="K89" s="9"/>
      <c r="L89" s="9"/>
      <c r="M89" s="9"/>
      <c r="N89" s="9"/>
      <c r="O89" s="9"/>
      <c r="P89" s="9"/>
      <c r="Q89" s="9"/>
      <c r="R89" s="9"/>
      <c r="S89" s="9"/>
    </row>
    <row r="90" spans="1:19" ht="13.5" thickBot="1">
      <c r="A90" s="9"/>
      <c r="B90" s="9"/>
      <c r="C90" s="9"/>
      <c r="D90" s="170"/>
      <c r="E90" s="9"/>
      <c r="F90" s="9"/>
      <c r="G90" s="9"/>
      <c r="H90" s="9"/>
      <c r="I90" s="9"/>
      <c r="J90" s="9"/>
      <c r="K90" s="9"/>
      <c r="L90" s="9"/>
      <c r="M90" s="9"/>
      <c r="N90" s="9"/>
      <c r="O90" s="9"/>
      <c r="P90" s="9"/>
      <c r="Q90" s="9"/>
      <c r="R90" s="9"/>
      <c r="S90" s="9"/>
    </row>
    <row r="91" spans="1:30" ht="13.5" thickBot="1">
      <c r="A91" s="9" t="s">
        <v>103</v>
      </c>
      <c r="B91" s="9" t="e">
        <f>((#REF!-(#REF!+G31)*3.1415927/20)/(2*3.1415927))^2*3.1415927</f>
        <v>#REF!</v>
      </c>
      <c r="C91" s="9">
        <v>427.088</v>
      </c>
      <c r="D91" s="170" t="e">
        <f>(B91-C91)*100/C91</f>
        <v>#REF!</v>
      </c>
      <c r="E91" s="9"/>
      <c r="F91" s="9"/>
      <c r="G91" s="9"/>
      <c r="H91" s="9"/>
      <c r="I91" s="9"/>
      <c r="J91" s="9"/>
      <c r="K91" s="9"/>
      <c r="L91" s="9"/>
      <c r="M91" s="9"/>
      <c r="N91" s="9"/>
      <c r="O91" s="9"/>
      <c r="P91" s="9"/>
      <c r="Q91" s="9"/>
      <c r="R91" s="9"/>
      <c r="S91" s="9"/>
      <c r="U91" s="224"/>
      <c r="Z91" s="494" t="s">
        <v>289</v>
      </c>
      <c r="AA91" s="495"/>
      <c r="AB91" s="495"/>
      <c r="AC91" s="496"/>
      <c r="AD91" s="497" t="s">
        <v>423</v>
      </c>
    </row>
    <row r="92" spans="1:30" ht="12.75">
      <c r="A92" s="9" t="s">
        <v>104</v>
      </c>
      <c r="B92" s="9" t="e">
        <f>((#REF!/(2*3.1415927))^2*3.1415927)-B91</f>
        <v>#REF!</v>
      </c>
      <c r="C92" s="9">
        <v>45.954</v>
      </c>
      <c r="D92" s="170" t="e">
        <f>(B92-C92)*100/C92</f>
        <v>#REF!</v>
      </c>
      <c r="E92" s="9"/>
      <c r="F92" s="9"/>
      <c r="G92" s="9"/>
      <c r="H92" s="9"/>
      <c r="I92" s="9"/>
      <c r="J92" s="9"/>
      <c r="K92" s="9"/>
      <c r="L92" s="9"/>
      <c r="M92" s="9"/>
      <c r="N92" s="9"/>
      <c r="O92" s="9"/>
      <c r="P92" s="9"/>
      <c r="Q92" s="9"/>
      <c r="R92" s="9"/>
      <c r="S92" s="9"/>
      <c r="U92" s="224"/>
      <c r="V92" s="494" t="s">
        <v>288</v>
      </c>
      <c r="W92" s="495"/>
      <c r="X92" s="495"/>
      <c r="Y92" s="496"/>
      <c r="Z92" s="492" t="s">
        <v>290</v>
      </c>
      <c r="AA92" s="493"/>
      <c r="AB92" s="489" t="s">
        <v>291</v>
      </c>
      <c r="AC92" s="498"/>
      <c r="AD92" s="490"/>
    </row>
    <row r="93" spans="1:30" ht="13.5" thickBot="1">
      <c r="A93" s="9"/>
      <c r="B93" s="9"/>
      <c r="C93" s="9"/>
      <c r="D93" s="170"/>
      <c r="E93" s="9"/>
      <c r="F93" s="9"/>
      <c r="G93" s="9"/>
      <c r="H93" s="9"/>
      <c r="I93" s="9"/>
      <c r="J93" s="9"/>
      <c r="K93" s="9"/>
      <c r="L93" s="9"/>
      <c r="M93" s="9"/>
      <c r="N93" s="9"/>
      <c r="O93" s="9"/>
      <c r="P93" s="9"/>
      <c r="Q93" s="9"/>
      <c r="R93" s="9"/>
      <c r="S93" s="9"/>
      <c r="V93" s="492" t="s">
        <v>290</v>
      </c>
      <c r="W93" s="493"/>
      <c r="X93" s="489" t="s">
        <v>291</v>
      </c>
      <c r="Y93" s="498"/>
      <c r="Z93" s="201" t="s">
        <v>301</v>
      </c>
      <c r="AA93" s="295" t="s">
        <v>302</v>
      </c>
      <c r="AB93" s="295" t="s">
        <v>301</v>
      </c>
      <c r="AC93" s="456" t="s">
        <v>302</v>
      </c>
      <c r="AD93" s="490"/>
    </row>
    <row r="94" spans="1:30" ht="13.5" thickBot="1">
      <c r="A94" s="9" t="s">
        <v>105</v>
      </c>
      <c r="B94" s="9" t="e">
        <f>((G24-(#REF!*0.31415927))/(2*3.1415927))^2*3.1415927</f>
        <v>#NUM!</v>
      </c>
      <c r="C94" s="9">
        <v>226.508</v>
      </c>
      <c r="D94" s="170" t="e">
        <f>(B94-C94)*100/C94</f>
        <v>#NUM!</v>
      </c>
      <c r="E94" s="9"/>
      <c r="F94" s="9"/>
      <c r="G94" s="9"/>
      <c r="H94" s="9"/>
      <c r="I94" s="9"/>
      <c r="J94" s="9"/>
      <c r="K94" s="9"/>
      <c r="L94" s="9"/>
      <c r="M94" s="9"/>
      <c r="N94" s="9"/>
      <c r="O94" s="9"/>
      <c r="P94" s="9"/>
      <c r="Q94" s="9"/>
      <c r="R94" s="9"/>
      <c r="S94" s="9"/>
      <c r="U94" s="297">
        <v>1</v>
      </c>
      <c r="V94" s="201" t="s">
        <v>301</v>
      </c>
      <c r="W94" s="295" t="s">
        <v>302</v>
      </c>
      <c r="X94" s="295" t="s">
        <v>301</v>
      </c>
      <c r="Y94" s="296" t="s">
        <v>302</v>
      </c>
      <c r="Z94" s="292">
        <v>50.7</v>
      </c>
      <c r="AA94" s="293"/>
      <c r="AB94" s="293">
        <v>45.2</v>
      </c>
      <c r="AC94" s="457"/>
      <c r="AD94" s="490"/>
    </row>
    <row r="95" spans="1:30" ht="12.75">
      <c r="A95" s="9" t="s">
        <v>106</v>
      </c>
      <c r="B95" s="9" t="e">
        <f>((G24/(2*3.1415927))^2*3.1415927)-B94</f>
        <v>#NUM!</v>
      </c>
      <c r="C95" s="9">
        <v>33.856</v>
      </c>
      <c r="D95" s="170" t="e">
        <f>(B95-C95)*100/C95</f>
        <v>#NUM!</v>
      </c>
      <c r="E95" s="9"/>
      <c r="F95" s="9"/>
      <c r="G95" s="9"/>
      <c r="H95" s="9"/>
      <c r="I95" s="9"/>
      <c r="J95" s="9"/>
      <c r="K95" s="9"/>
      <c r="L95" s="9"/>
      <c r="M95" s="9"/>
      <c r="N95" s="9"/>
      <c r="O95" s="9"/>
      <c r="P95" s="9"/>
      <c r="Q95" s="9"/>
      <c r="R95" s="9"/>
      <c r="S95" s="9"/>
      <c r="U95" s="298">
        <v>2</v>
      </c>
      <c r="V95" s="292">
        <v>54.2</v>
      </c>
      <c r="W95" s="293"/>
      <c r="X95" s="293">
        <v>47.5</v>
      </c>
      <c r="Y95" s="294"/>
      <c r="Z95" s="287">
        <v>47.4</v>
      </c>
      <c r="AA95" s="286">
        <v>50.7</v>
      </c>
      <c r="AB95" s="286">
        <v>41</v>
      </c>
      <c r="AC95" s="450">
        <v>45.2</v>
      </c>
      <c r="AD95" s="490"/>
    </row>
    <row r="96" spans="1:30" ht="12.75">
      <c r="A96" s="9"/>
      <c r="B96" s="9"/>
      <c r="C96" s="9"/>
      <c r="D96" s="170"/>
      <c r="E96" s="9"/>
      <c r="F96" s="9"/>
      <c r="G96" s="9"/>
      <c r="H96" s="9"/>
      <c r="I96" s="9"/>
      <c r="J96" s="9"/>
      <c r="K96" s="9"/>
      <c r="L96" s="9"/>
      <c r="M96" s="9"/>
      <c r="N96" s="9"/>
      <c r="O96" s="9"/>
      <c r="P96" s="9"/>
      <c r="Q96" s="9"/>
      <c r="R96" s="9"/>
      <c r="S96" s="9"/>
      <c r="U96" s="298">
        <v>3</v>
      </c>
      <c r="V96" s="287">
        <v>50.8</v>
      </c>
      <c r="W96" s="286">
        <v>54.2</v>
      </c>
      <c r="X96" s="286">
        <v>43.9</v>
      </c>
      <c r="Y96" s="288">
        <v>47.5</v>
      </c>
      <c r="Z96" s="287">
        <v>40.5</v>
      </c>
      <c r="AA96" s="286">
        <v>47.3</v>
      </c>
      <c r="AB96" s="286">
        <v>32.3</v>
      </c>
      <c r="AC96" s="450">
        <v>40.9</v>
      </c>
      <c r="AD96" s="490"/>
    </row>
    <row r="97" spans="1:30" ht="12.75">
      <c r="A97" s="9" t="s">
        <v>107</v>
      </c>
      <c r="B97" s="9" t="e">
        <f>(((G26-(G33*0.31415927))/(2*3.1415927))^2*3.1415927)</f>
        <v>#NUM!</v>
      </c>
      <c r="C97" s="9">
        <v>87.372</v>
      </c>
      <c r="D97" s="170" t="e">
        <f>(B97-C97)*100/C97</f>
        <v>#NUM!</v>
      </c>
      <c r="E97" s="9"/>
      <c r="F97" s="9"/>
      <c r="G97" s="9"/>
      <c r="H97" s="9"/>
      <c r="I97" s="9"/>
      <c r="J97" s="9"/>
      <c r="K97" s="9"/>
      <c r="L97" s="9"/>
      <c r="M97" s="9"/>
      <c r="N97" s="9"/>
      <c r="O97" s="9"/>
      <c r="P97" s="9"/>
      <c r="Q97" s="9"/>
      <c r="R97" s="9"/>
      <c r="S97" s="9"/>
      <c r="U97" s="298">
        <v>4</v>
      </c>
      <c r="V97" s="287">
        <v>44</v>
      </c>
      <c r="W97" s="286">
        <v>50.8</v>
      </c>
      <c r="X97" s="286">
        <v>36.4</v>
      </c>
      <c r="Y97" s="288">
        <v>43.8</v>
      </c>
      <c r="Z97" s="287">
        <v>37.1</v>
      </c>
      <c r="AA97" s="286">
        <v>40.4</v>
      </c>
      <c r="AB97" s="286">
        <v>28</v>
      </c>
      <c r="AC97" s="450">
        <v>32.2</v>
      </c>
      <c r="AD97" s="490"/>
    </row>
    <row r="98" spans="1:30" ht="13.5" thickBot="1">
      <c r="A98" s="9" t="s">
        <v>108</v>
      </c>
      <c r="B98" s="9" t="e">
        <f>((G26/(2*3.1415927))^2*3.1415927)-B97</f>
        <v>#NUM!</v>
      </c>
      <c r="C98" s="9">
        <v>15.188</v>
      </c>
      <c r="D98" s="170" t="e">
        <f>(B98-C98)*100/C98</f>
        <v>#NUM!</v>
      </c>
      <c r="E98" s="9"/>
      <c r="F98" s="9"/>
      <c r="G98" s="9"/>
      <c r="H98" s="9"/>
      <c r="I98" s="9"/>
      <c r="J98" s="9"/>
      <c r="K98" s="9"/>
      <c r="L98" s="9"/>
      <c r="M98" s="9"/>
      <c r="N98" s="9"/>
      <c r="O98" s="9"/>
      <c r="P98" s="9"/>
      <c r="Q98" s="9"/>
      <c r="R98" s="9"/>
      <c r="S98" s="9"/>
      <c r="U98" s="299">
        <v>5</v>
      </c>
      <c r="V98" s="287">
        <v>40.6</v>
      </c>
      <c r="W98" s="286">
        <v>43.9</v>
      </c>
      <c r="X98" s="286">
        <v>32.7</v>
      </c>
      <c r="Y98" s="288">
        <v>36.3</v>
      </c>
      <c r="Z98" s="289">
        <v>37.1</v>
      </c>
      <c r="AA98" s="290"/>
      <c r="AB98" s="290">
        <v>28</v>
      </c>
      <c r="AC98" s="458"/>
      <c r="AD98" s="491"/>
    </row>
    <row r="99" spans="1:25" ht="13.5" thickBot="1">
      <c r="A99" s="9"/>
      <c r="B99" s="9"/>
      <c r="C99" s="9"/>
      <c r="D99" s="9"/>
      <c r="E99" s="9"/>
      <c r="F99" s="9"/>
      <c r="G99" s="9"/>
      <c r="H99" s="9"/>
      <c r="I99" s="9"/>
      <c r="J99" s="9"/>
      <c r="K99" s="9"/>
      <c r="L99" s="9"/>
      <c r="M99" s="9"/>
      <c r="N99" s="9"/>
      <c r="O99" s="9"/>
      <c r="P99" s="9"/>
      <c r="Q99" s="9"/>
      <c r="R99" s="9"/>
      <c r="S99" s="9"/>
      <c r="V99" s="289">
        <v>40.6</v>
      </c>
      <c r="W99" s="290"/>
      <c r="X99" s="290">
        <v>32.7</v>
      </c>
      <c r="Y99" s="291"/>
    </row>
    <row r="100" spans="1:19" ht="12.75">
      <c r="A100" s="171" t="s">
        <v>146</v>
      </c>
      <c r="B100" s="9"/>
      <c r="C100" s="9"/>
      <c r="D100" s="171" t="s">
        <v>156</v>
      </c>
      <c r="E100" s="9"/>
      <c r="F100" s="9"/>
      <c r="G100" s="9"/>
      <c r="H100" s="9"/>
      <c r="I100" s="9"/>
      <c r="J100" s="9"/>
      <c r="K100" s="9"/>
      <c r="L100" s="9"/>
      <c r="M100" s="9"/>
      <c r="N100" s="9"/>
      <c r="O100" s="9"/>
      <c r="P100" s="9"/>
      <c r="Q100" s="9"/>
      <c r="R100" s="9"/>
      <c r="S100" s="9"/>
    </row>
    <row r="101" spans="1:19" ht="12.75">
      <c r="A101" s="9"/>
      <c r="B101" s="9"/>
      <c r="C101" s="9"/>
      <c r="D101" s="9" t="s">
        <v>157</v>
      </c>
      <c r="E101" s="9"/>
      <c r="F101" s="9"/>
      <c r="G101" s="9"/>
      <c r="H101" s="9"/>
      <c r="I101" s="9"/>
      <c r="J101" s="9"/>
      <c r="K101" s="9"/>
      <c r="L101" s="9"/>
      <c r="M101" s="9"/>
      <c r="N101" s="9"/>
      <c r="O101" s="9"/>
      <c r="P101" s="9"/>
      <c r="Q101" s="9"/>
      <c r="R101" s="9"/>
      <c r="S101" s="9"/>
    </row>
    <row r="102" spans="1:19" ht="12.75">
      <c r="A102" s="9" t="s">
        <v>147</v>
      </c>
      <c r="B102" s="172" t="e">
        <f>(-0.7182+(0.1451*B103)-(0.00068*B103^2)+(0.0000014*B103^3))</f>
        <v>#NUM!</v>
      </c>
      <c r="C102" s="9"/>
      <c r="D102" s="173" t="e">
        <f>(0.007184*$G$6^0.425)*($G$7^0.725)</f>
        <v>#NUM!</v>
      </c>
      <c r="E102" s="9"/>
      <c r="F102" s="9"/>
      <c r="G102" s="9"/>
      <c r="H102" s="9"/>
      <c r="I102" s="9"/>
      <c r="J102" s="9"/>
      <c r="K102" s="9"/>
      <c r="L102" s="9"/>
      <c r="M102" s="9"/>
      <c r="N102" s="9"/>
      <c r="O102" s="9"/>
      <c r="P102" s="9"/>
      <c r="Q102" s="9"/>
      <c r="R102" s="9"/>
      <c r="S102" s="9"/>
    </row>
    <row r="103" spans="1:19" ht="12.75">
      <c r="A103" s="9" t="s">
        <v>148</v>
      </c>
      <c r="B103" s="9" t="e">
        <f>SUM(G28+G30+G29)*170.18/$G$7</f>
        <v>#NUM!</v>
      </c>
      <c r="C103" s="9"/>
      <c r="D103" s="9"/>
      <c r="E103" s="9"/>
      <c r="F103" s="9"/>
      <c r="G103" s="9"/>
      <c r="H103" s="9"/>
      <c r="I103" s="9"/>
      <c r="J103" s="9"/>
      <c r="K103" s="9"/>
      <c r="L103" s="9"/>
      <c r="M103" s="9"/>
      <c r="N103" s="9"/>
      <c r="O103" s="9"/>
      <c r="P103" s="9"/>
      <c r="Q103" s="9"/>
      <c r="R103" s="9"/>
      <c r="S103" s="9"/>
    </row>
    <row r="104" spans="1:19" ht="12.75">
      <c r="A104" s="9"/>
      <c r="B104" s="9"/>
      <c r="C104" s="9"/>
      <c r="D104" s="171" t="s">
        <v>158</v>
      </c>
      <c r="E104" s="9"/>
      <c r="F104" s="9"/>
      <c r="G104" s="9"/>
      <c r="H104" s="9"/>
      <c r="I104" s="9"/>
      <c r="J104" s="9"/>
      <c r="K104" s="9"/>
      <c r="L104" s="9"/>
      <c r="M104" s="9"/>
      <c r="N104" s="9"/>
      <c r="O104" s="9"/>
      <c r="P104" s="9"/>
      <c r="Q104" s="9"/>
      <c r="R104" s="9"/>
      <c r="S104" s="9"/>
    </row>
    <row r="105" spans="1:19" ht="12.75">
      <c r="A105" s="9" t="s">
        <v>149</v>
      </c>
      <c r="B105" s="172" t="e">
        <f>(0.858*G14)+(0.601*G15)+(0.188*(G19-G28/10))+(0.161*(G26-G33/10))-(G7*0.131)+4.5</f>
        <v>#NUM!</v>
      </c>
      <c r="C105" s="9"/>
      <c r="D105" s="173" t="e">
        <f>G6^0.3333/G7</f>
        <v>#NUM!</v>
      </c>
      <c r="E105" s="9"/>
      <c r="F105" s="9"/>
      <c r="G105" s="9"/>
      <c r="H105" s="9"/>
      <c r="I105" s="9"/>
      <c r="J105" s="9"/>
      <c r="K105" s="9"/>
      <c r="L105" s="9"/>
      <c r="M105" s="9"/>
      <c r="N105" s="9"/>
      <c r="O105" s="9"/>
      <c r="P105" s="9"/>
      <c r="Q105" s="9"/>
      <c r="R105" s="9"/>
      <c r="S105" s="9"/>
    </row>
    <row r="106" spans="1:19" ht="12.75">
      <c r="A106" s="9"/>
      <c r="B106" s="9"/>
      <c r="C106" s="9"/>
      <c r="D106" s="9"/>
      <c r="E106" s="9"/>
      <c r="F106" s="9"/>
      <c r="G106" s="9"/>
      <c r="H106" s="9"/>
      <c r="I106" s="9"/>
      <c r="J106" s="9"/>
      <c r="K106" s="9"/>
      <c r="L106" s="9"/>
      <c r="M106" s="9"/>
      <c r="N106" s="9"/>
      <c r="O106" s="9"/>
      <c r="P106" s="9"/>
      <c r="Q106" s="9"/>
      <c r="R106" s="9"/>
      <c r="S106" s="9"/>
    </row>
    <row r="107" spans="1:19" ht="12.75">
      <c r="A107" s="9" t="s">
        <v>150</v>
      </c>
      <c r="B107" s="172" t="e">
        <f>IF(B108&gt;=40.75,0.732*B108-28.58,0.463*B108-17.63)</f>
        <v>#NUM!</v>
      </c>
      <c r="C107" s="9"/>
      <c r="D107" s="9"/>
      <c r="E107" s="9"/>
      <c r="F107" s="9"/>
      <c r="G107" s="9"/>
      <c r="H107" s="9"/>
      <c r="I107" s="9"/>
      <c r="J107" s="9"/>
      <c r="K107" s="9"/>
      <c r="L107" s="9"/>
      <c r="M107" s="9"/>
      <c r="N107" s="9"/>
      <c r="O107" s="9"/>
      <c r="P107" s="9"/>
      <c r="Q107" s="9"/>
      <c r="R107" s="9"/>
      <c r="S107" s="9"/>
    </row>
    <row r="108" spans="1:19" ht="12.75">
      <c r="A108" s="9" t="s">
        <v>151</v>
      </c>
      <c r="B108" s="9" t="e">
        <f>G7/(G6)^0.3333</f>
        <v>#NUM!</v>
      </c>
      <c r="C108" s="9"/>
      <c r="D108" s="9"/>
      <c r="E108" s="9"/>
      <c r="F108" s="9"/>
      <c r="G108" s="9"/>
      <c r="H108" s="9"/>
      <c r="I108" s="9"/>
      <c r="J108" s="9"/>
      <c r="K108" s="9"/>
      <c r="L108" s="9"/>
      <c r="M108" s="9"/>
      <c r="N108" s="9"/>
      <c r="O108" s="9"/>
      <c r="P108" s="9"/>
      <c r="Q108" s="9"/>
      <c r="R108" s="9"/>
      <c r="S108" s="9"/>
    </row>
    <row r="109" spans="1:19" ht="12.75">
      <c r="A109" s="9"/>
      <c r="B109" s="9"/>
      <c r="C109" s="9"/>
      <c r="D109" s="9"/>
      <c r="E109" s="9"/>
      <c r="F109" s="9"/>
      <c r="G109" s="9"/>
      <c r="H109" s="9"/>
      <c r="I109" s="9"/>
      <c r="J109" s="9"/>
      <c r="K109" s="9"/>
      <c r="L109" s="9"/>
      <c r="M109" s="9"/>
      <c r="N109" s="9"/>
      <c r="O109" s="9"/>
      <c r="P109" s="9"/>
      <c r="Q109" s="9"/>
      <c r="R109" s="9"/>
      <c r="S109" s="9"/>
    </row>
    <row r="110" spans="1:19" ht="12.75">
      <c r="A110" s="171" t="s">
        <v>152</v>
      </c>
      <c r="B110" s="9"/>
      <c r="C110" s="9"/>
      <c r="D110" s="171" t="s">
        <v>161</v>
      </c>
      <c r="E110" s="9"/>
      <c r="F110" s="9"/>
      <c r="G110" s="9"/>
      <c r="H110" s="9"/>
      <c r="I110" s="9"/>
      <c r="J110" s="9"/>
      <c r="K110" s="9"/>
      <c r="L110" s="9"/>
      <c r="M110" s="9"/>
      <c r="N110" s="9"/>
      <c r="O110" s="9"/>
      <c r="P110" s="9"/>
      <c r="Q110" s="9"/>
      <c r="R110" s="9"/>
      <c r="S110" s="9"/>
    </row>
    <row r="111" spans="1:19" ht="12.75">
      <c r="A111" s="9" t="s">
        <v>153</v>
      </c>
      <c r="B111" s="174" t="e">
        <f>IF(I2=1,66+(13.7*G6)+(5*G7)-(6.8*I3),655+(9.6*G6)+(1.7*G7)-(4.7*I3))</f>
        <v>#NUM!</v>
      </c>
      <c r="C111" s="9"/>
      <c r="D111" s="174" t="e">
        <f>B111*1.3</f>
        <v>#NUM!</v>
      </c>
      <c r="E111" s="9"/>
      <c r="F111" s="9"/>
      <c r="G111" s="9"/>
      <c r="H111" s="9"/>
      <c r="I111" s="9"/>
      <c r="J111" s="9"/>
      <c r="K111" s="9"/>
      <c r="L111" s="9"/>
      <c r="M111" s="9"/>
      <c r="N111" s="9"/>
      <c r="O111" s="9"/>
      <c r="P111" s="9"/>
      <c r="Q111" s="9"/>
      <c r="R111" s="9"/>
      <c r="S111" s="9"/>
    </row>
    <row r="112" spans="1:19" ht="12.75">
      <c r="A112" s="9" t="s">
        <v>154</v>
      </c>
      <c r="B112" s="174" t="e">
        <f>(21.8*Presentación!#REF!)+392</f>
        <v>#REF!</v>
      </c>
      <c r="C112" s="9"/>
      <c r="D112" s="174" t="e">
        <f>B112*1.3</f>
        <v>#REF!</v>
      </c>
      <c r="E112" s="9"/>
      <c r="F112" s="9"/>
      <c r="G112" s="9"/>
      <c r="H112" s="9"/>
      <c r="I112" s="9"/>
      <c r="J112" s="9"/>
      <c r="K112" s="9"/>
      <c r="L112" s="9"/>
      <c r="M112" s="9"/>
      <c r="N112" s="9"/>
      <c r="O112" s="9"/>
      <c r="P112" s="9"/>
      <c r="Q112" s="9"/>
      <c r="R112" s="9"/>
      <c r="S112" s="9"/>
    </row>
    <row r="113" spans="1:19" ht="12.75">
      <c r="A113" s="9" t="s">
        <v>155</v>
      </c>
      <c r="B113" s="174" t="e">
        <f>370+(21.6*Presentación!#REF!)</f>
        <v>#REF!</v>
      </c>
      <c r="C113" s="9"/>
      <c r="D113" s="174" t="e">
        <f>B113*1.3</f>
        <v>#REF!</v>
      </c>
      <c r="E113" s="9"/>
      <c r="F113" s="9"/>
      <c r="G113" s="9"/>
      <c r="H113" s="9"/>
      <c r="I113" s="9"/>
      <c r="J113" s="9"/>
      <c r="K113" s="9"/>
      <c r="L113" s="9"/>
      <c r="M113" s="9"/>
      <c r="N113" s="9"/>
      <c r="O113" s="9"/>
      <c r="P113" s="9"/>
      <c r="Q113" s="9"/>
      <c r="R113" s="9"/>
      <c r="S113" s="9"/>
    </row>
    <row r="114" spans="1:19" ht="12.75">
      <c r="A114" s="9" t="s">
        <v>159</v>
      </c>
      <c r="B114" s="174" t="e">
        <f>67.6*G6^0.75</f>
        <v>#NUM!</v>
      </c>
      <c r="C114" s="9"/>
      <c r="D114" s="174" t="e">
        <f>B114*1.3</f>
        <v>#NUM!</v>
      </c>
      <c r="E114" s="9"/>
      <c r="F114" s="9"/>
      <c r="G114" s="9"/>
      <c r="H114" s="9"/>
      <c r="I114" s="9"/>
      <c r="J114" s="9"/>
      <c r="K114" s="9"/>
      <c r="L114" s="9"/>
      <c r="M114" s="9"/>
      <c r="N114" s="9"/>
      <c r="O114" s="9"/>
      <c r="P114" s="9"/>
      <c r="Q114" s="9"/>
      <c r="R114" s="9"/>
      <c r="S114" s="9"/>
    </row>
    <row r="115" spans="1:19" ht="12.75">
      <c r="A115" s="9" t="s">
        <v>160</v>
      </c>
      <c r="B115" s="173" t="e">
        <f>IF(I179,38*D102,35*D102)</f>
        <v>#NUM!</v>
      </c>
      <c r="C115" s="173" t="e">
        <f>B115*24</f>
        <v>#NUM!</v>
      </c>
      <c r="D115" s="9"/>
      <c r="E115" s="9"/>
      <c r="F115" s="9"/>
      <c r="G115" s="9"/>
      <c r="H115" s="9"/>
      <c r="I115" s="9"/>
      <c r="J115" s="9"/>
      <c r="K115" s="9"/>
      <c r="L115" s="9"/>
      <c r="M115" s="9"/>
      <c r="N115" s="9"/>
      <c r="O115" s="9"/>
      <c r="P115" s="9"/>
      <c r="Q115" s="9"/>
      <c r="R115" s="9"/>
      <c r="S115" s="9"/>
    </row>
  </sheetData>
  <sheetProtection/>
  <mergeCells count="44">
    <mergeCell ref="K16:L16"/>
    <mergeCell ref="K19:L19"/>
    <mergeCell ref="G3:H3"/>
    <mergeCell ref="E3:F3"/>
    <mergeCell ref="K5:L7"/>
    <mergeCell ref="K8:L14"/>
    <mergeCell ref="AE1:AF1"/>
    <mergeCell ref="C1:D1"/>
    <mergeCell ref="Z2:AA2"/>
    <mergeCell ref="AB2:AC2"/>
    <mergeCell ref="B2:C2"/>
    <mergeCell ref="G1:H1"/>
    <mergeCell ref="V1:Y1"/>
    <mergeCell ref="K2:L4"/>
    <mergeCell ref="Z1:AC1"/>
    <mergeCell ref="V2:W2"/>
    <mergeCell ref="D2:E2"/>
    <mergeCell ref="G2:H2"/>
    <mergeCell ref="V11:Y11"/>
    <mergeCell ref="Z11:AC11"/>
    <mergeCell ref="V10:AC10"/>
    <mergeCell ref="X2:Y2"/>
    <mergeCell ref="C3:D3"/>
    <mergeCell ref="V70:Y70"/>
    <mergeCell ref="Z69:AC69"/>
    <mergeCell ref="AD69:AD76"/>
    <mergeCell ref="V71:W71"/>
    <mergeCell ref="X71:Y71"/>
    <mergeCell ref="Z70:AA70"/>
    <mergeCell ref="AB70:AC70"/>
    <mergeCell ref="V81:Y81"/>
    <mergeCell ref="Z80:AC80"/>
    <mergeCell ref="AD80:AD87"/>
    <mergeCell ref="V82:W82"/>
    <mergeCell ref="X82:Y82"/>
    <mergeCell ref="Z81:AA81"/>
    <mergeCell ref="AB81:AC81"/>
    <mergeCell ref="V92:Y92"/>
    <mergeCell ref="Z91:AC91"/>
    <mergeCell ref="AD91:AD98"/>
    <mergeCell ref="V93:W93"/>
    <mergeCell ref="X93:Y93"/>
    <mergeCell ref="Z92:AA92"/>
    <mergeCell ref="AB92:AC92"/>
  </mergeCells>
  <conditionalFormatting sqref="V1:AC1">
    <cfRule type="expression" priority="1" dxfId="0" stopIfTrue="1">
      <formula>$J$82="D"</formula>
    </cfRule>
  </conditionalFormatting>
  <conditionalFormatting sqref="V2:AC2">
    <cfRule type="expression" priority="2" dxfId="0" stopIfTrue="1">
      <formula>AND($J$82="D",$K$82=1)</formula>
    </cfRule>
  </conditionalFormatting>
  <conditionalFormatting sqref="Z4:AA8 V4:W8">
    <cfRule type="expression" priority="3" dxfId="0" stopIfTrue="1">
      <formula>AND($J$82="R",$K$82=1)</formula>
    </cfRule>
  </conditionalFormatting>
  <conditionalFormatting sqref="AB4:AB8 AC5:AC7 X4:X8 Y5:Y7">
    <cfRule type="expression" priority="4" dxfId="0" stopIfTrue="1">
      <formula>AND($J$82="r",$K$82=2)</formula>
    </cfRule>
  </conditionalFormatting>
  <conditionalFormatting sqref="V10:V11 X71 X82 V73:W77 X93 V84:W88 V95:W99 AB92 Z92 V93 AB81 Z81 V82 AB70 Z70 V71">
    <cfRule type="expression" priority="5" dxfId="0" stopIfTrue="1">
      <formula>AND($J$103="D",$K$103=1)</formula>
    </cfRule>
  </conditionalFormatting>
  <conditionalFormatting sqref="Z13:AA19 Z11 Z94:AA98 Z72:AA76 Z83:AA87 Z29 AE22:AF23 V15 AE5">
    <cfRule type="expression" priority="6" dxfId="0" stopIfTrue="1">
      <formula>AND($J$103="R",$K$103=1)</formula>
    </cfRule>
  </conditionalFormatting>
  <conditionalFormatting sqref="AB13:AB19 AC73:AC75 AB72:AB76 AC84:AC86 AB83:AB87 AC95:AC97 AB94:AB98">
    <cfRule type="expression" priority="7" dxfId="0" stopIfTrue="1">
      <formula>AND($J$103="r",$K$103=2)</formula>
    </cfRule>
  </conditionalFormatting>
  <conditionalFormatting sqref="Z69 Z80 Z91 V92 V81 V70">
    <cfRule type="expression" priority="8" dxfId="0" stopIfTrue="1">
      <formula>$J$103="D"</formula>
    </cfRule>
  </conditionalFormatting>
  <conditionalFormatting sqref="X73:Y77 X84:Y88 X95:Y99">
    <cfRule type="expression" priority="9" dxfId="0" stopIfTrue="1">
      <formula>AND($J$103="D",$K$103=2)</formula>
    </cfRule>
  </conditionalFormatting>
  <dataValidations count="1">
    <dataValidation type="list" allowBlank="1" showInputMessage="1" showErrorMessage="1" prompt="Antes de desplegar la lista elija el SEXO." errorTitle="ERROR" error="Debe seleccionar un elemento de  la lista. No es posible ingresar cualquier valor." sqref="C1:D1">
      <formula1>IF($I$2=1,$Z$13:$Z$46,$V$14:$V$35)</formula1>
    </dataValidation>
  </dataValidations>
  <printOptions/>
  <pageMargins left="0.5905511811023623" right="0.75" top="1.1811023622047245" bottom="1" header="0.3937007874015748" footer="0"/>
  <pageSetup horizontalDpi="300" verticalDpi="300" orientation="portrait" scale="89" r:id="rId4"/>
  <headerFooter alignWithMargins="0">
    <oddHeader>&amp;C&amp;"Courier New,Negrita"&amp;14Informe de Composición Corporal</oddHeader>
    <oddFooter>&amp;C&amp;"Courier New,Negrita"Francis Holway
 Nutrición Deportiva</oddFooter>
  </headerFooter>
  <rowBreaks count="1" manualBreakCount="1">
    <brk id="36" max="17" man="1"/>
  </rowBreaks>
  <colBreaks count="1" manualBreakCount="1">
    <brk id="9" max="101" man="1"/>
  </colBreaks>
  <drawing r:id="rId3"/>
  <legacyDrawing r:id="rId2"/>
</worksheet>
</file>

<file path=xl/worksheets/sheet2.xml><?xml version="1.0" encoding="utf-8"?>
<worksheet xmlns="http://schemas.openxmlformats.org/spreadsheetml/2006/main" xmlns:r="http://schemas.openxmlformats.org/officeDocument/2006/relationships">
  <sheetPr codeName="Hoja2"/>
  <dimension ref="A1:R276"/>
  <sheetViews>
    <sheetView view="pageBreakPreview" zoomScaleSheetLayoutView="100" workbookViewId="0" topLeftCell="A137">
      <selection activeCell="N151" sqref="N151"/>
    </sheetView>
  </sheetViews>
  <sheetFormatPr defaultColWidth="11.421875" defaultRowHeight="12.75"/>
  <cols>
    <col min="1" max="2" width="10.28125" style="0" customWidth="1"/>
    <col min="3" max="3" width="9.57421875" style="0" customWidth="1"/>
    <col min="4" max="4" width="9.28125" style="0" customWidth="1"/>
    <col min="5" max="5" width="10.00390625" style="0" customWidth="1"/>
    <col min="6" max="6" width="10.140625" style="0" customWidth="1"/>
    <col min="7" max="7" width="7.140625" style="0" customWidth="1"/>
    <col min="8" max="8" width="6.7109375" style="0" customWidth="1"/>
    <col min="9" max="9" width="6.140625" style="0" customWidth="1"/>
    <col min="10" max="10" width="6.421875" style="0" customWidth="1"/>
    <col min="11" max="11" width="10.140625" style="0" customWidth="1"/>
    <col min="14" max="14" width="19.57421875" style="0" customWidth="1"/>
    <col min="16" max="16" width="8.57421875" style="0" customWidth="1"/>
    <col min="17" max="17" width="3.140625" style="0" bestFit="1" customWidth="1"/>
    <col min="18" max="18" width="12.421875" style="0" customWidth="1"/>
    <col min="19" max="20" width="6.421875" style="0" customWidth="1"/>
    <col min="22" max="22" width="6.57421875" style="0" bestFit="1" customWidth="1"/>
    <col min="23" max="23" width="3.421875" style="0" customWidth="1"/>
  </cols>
  <sheetData>
    <row r="1" spans="1:13" ht="78.75" customHeight="1">
      <c r="A1" s="560" t="s">
        <v>178</v>
      </c>
      <c r="B1" s="561"/>
      <c r="C1" s="561"/>
      <c r="D1" s="561"/>
      <c r="E1" s="561"/>
      <c r="F1" s="561"/>
      <c r="G1" s="561"/>
      <c r="H1" s="562"/>
      <c r="I1" s="553" t="s">
        <v>427</v>
      </c>
      <c r="J1" s="553"/>
      <c r="K1" s="553"/>
      <c r="L1" s="9"/>
      <c r="M1" s="9"/>
    </row>
    <row r="2" spans="1:13" ht="12.75">
      <c r="A2" s="185"/>
      <c r="B2" s="14"/>
      <c r="C2" s="14"/>
      <c r="D2" s="14"/>
      <c r="E2" s="14"/>
      <c r="F2" s="14"/>
      <c r="G2" s="14"/>
      <c r="H2" s="14"/>
      <c r="I2" s="14"/>
      <c r="J2" s="14"/>
      <c r="K2" s="15"/>
      <c r="L2" s="9"/>
      <c r="M2" s="9"/>
    </row>
    <row r="3" spans="1:13" ht="15.75">
      <c r="A3" s="185"/>
      <c r="B3" s="14"/>
      <c r="C3" s="12" t="s">
        <v>35</v>
      </c>
      <c r="D3" s="616">
        <f>'Proc datos brutos'!B2</f>
        <v>0</v>
      </c>
      <c r="E3" s="616"/>
      <c r="F3" s="616"/>
      <c r="G3" s="617"/>
      <c r="H3" s="12" t="s">
        <v>40</v>
      </c>
      <c r="I3" s="186">
        <f>'Proc datos brutos'!I3</f>
        <v>0</v>
      </c>
      <c r="J3" s="14"/>
      <c r="K3" s="15"/>
      <c r="L3" s="9"/>
      <c r="M3" s="9"/>
    </row>
    <row r="4" spans="1:13" ht="12.75">
      <c r="A4" s="185"/>
      <c r="B4" s="14"/>
      <c r="C4" s="14"/>
      <c r="D4" s="14"/>
      <c r="E4" s="14"/>
      <c r="F4" s="14"/>
      <c r="G4" s="14"/>
      <c r="H4" s="14"/>
      <c r="I4" s="14"/>
      <c r="J4" s="14"/>
      <c r="K4" s="15"/>
      <c r="L4" s="9"/>
      <c r="M4" s="9"/>
    </row>
    <row r="5" spans="1:13" ht="15">
      <c r="A5" s="185"/>
      <c r="B5" s="14"/>
      <c r="C5" s="556" t="s">
        <v>167</v>
      </c>
      <c r="D5" s="557"/>
      <c r="E5" s="187">
        <f>'Proc datos brutos'!I1</f>
        <v>0</v>
      </c>
      <c r="F5" s="556" t="s">
        <v>420</v>
      </c>
      <c r="G5" s="557"/>
      <c r="H5" s="558">
        <f>'Proc datos brutos'!B3</f>
        <v>0</v>
      </c>
      <c r="I5" s="559"/>
      <c r="J5" s="14"/>
      <c r="K5" s="15"/>
      <c r="L5" s="9"/>
      <c r="M5" s="9"/>
    </row>
    <row r="6" spans="1:13" ht="12.75">
      <c r="A6" s="185"/>
      <c r="B6" s="14"/>
      <c r="C6" s="14"/>
      <c r="D6" s="14"/>
      <c r="E6" s="14"/>
      <c r="F6" s="14"/>
      <c r="G6" s="14"/>
      <c r="H6" s="14"/>
      <c r="I6" s="14"/>
      <c r="J6" s="14"/>
      <c r="K6" s="15"/>
      <c r="L6" s="9"/>
      <c r="M6" s="9"/>
    </row>
    <row r="7" spans="1:13" ht="13.5" thickBot="1">
      <c r="A7" s="188"/>
      <c r="B7" s="30"/>
      <c r="C7" s="30"/>
      <c r="D7" s="30"/>
      <c r="E7" s="30"/>
      <c r="F7" s="30"/>
      <c r="G7" s="30"/>
      <c r="H7" s="30"/>
      <c r="I7" s="30"/>
      <c r="J7" s="30"/>
      <c r="K7" s="31"/>
      <c r="L7" s="9"/>
      <c r="M7" s="9"/>
    </row>
    <row r="8" spans="1:18" ht="26.25" thickTop="1">
      <c r="A8" s="38"/>
      <c r="B8" s="39"/>
      <c r="C8" s="39"/>
      <c r="D8" s="39"/>
      <c r="E8" s="13" t="s">
        <v>130</v>
      </c>
      <c r="F8" s="7" t="s">
        <v>138</v>
      </c>
      <c r="G8" s="648"/>
      <c r="H8" s="648"/>
      <c r="I8" s="647" t="s">
        <v>164</v>
      </c>
      <c r="J8" s="647"/>
      <c r="K8" s="40" t="s">
        <v>131</v>
      </c>
      <c r="L8" s="11" t="s">
        <v>163</v>
      </c>
      <c r="M8" s="9"/>
      <c r="O8" s="2"/>
      <c r="P8" s="6"/>
      <c r="Q8" s="6"/>
      <c r="R8" s="3"/>
    </row>
    <row r="9" spans="1:18" ht="13.5" thickBot="1">
      <c r="A9" s="37"/>
      <c r="B9" s="18"/>
      <c r="C9" s="18"/>
      <c r="D9" s="18"/>
      <c r="E9" s="19"/>
      <c r="F9" s="20"/>
      <c r="G9" s="21"/>
      <c r="H9" s="21"/>
      <c r="I9" s="21"/>
      <c r="J9" s="21"/>
      <c r="K9" s="22"/>
      <c r="L9" s="11"/>
      <c r="M9" s="9"/>
      <c r="O9" s="4"/>
      <c r="P9" s="23"/>
      <c r="Q9" s="23"/>
      <c r="R9" s="5"/>
    </row>
    <row r="10" spans="1:18" ht="19.5" customHeight="1">
      <c r="A10" s="620" t="s">
        <v>126</v>
      </c>
      <c r="B10" s="44" t="s">
        <v>127</v>
      </c>
      <c r="C10" s="45"/>
      <c r="D10" s="45"/>
      <c r="E10" s="46" t="e">
        <f>'Proc datos brutos'!G6</f>
        <v>#NUM!</v>
      </c>
      <c r="F10" s="47" t="e">
        <f>(E10*(170.18/$E$11)^3)</f>
        <v>#NUM!</v>
      </c>
      <c r="G10" s="48"/>
      <c r="H10" s="48"/>
      <c r="I10" s="49"/>
      <c r="J10" s="48">
        <f>IF(P10="","",E10-P10)</f>
      </c>
      <c r="K10" s="50" t="e">
        <f>(F10-64.58)/8.6</f>
        <v>#NUM!</v>
      </c>
      <c r="L10" s="8">
        <v>3</v>
      </c>
      <c r="M10" s="11">
        <v>2</v>
      </c>
      <c r="O10" s="4"/>
      <c r="P10" s="16"/>
      <c r="Q10" s="631" t="s">
        <v>173</v>
      </c>
      <c r="R10" s="5"/>
    </row>
    <row r="11" spans="1:18" ht="19.5" customHeight="1">
      <c r="A11" s="621"/>
      <c r="B11" s="51" t="s">
        <v>128</v>
      </c>
      <c r="C11" s="52"/>
      <c r="D11" s="52"/>
      <c r="E11" s="53" t="e">
        <f>'Proc datos brutos'!G7</f>
        <v>#NUM!</v>
      </c>
      <c r="F11" s="54"/>
      <c r="G11" s="55"/>
      <c r="H11" s="55"/>
      <c r="I11" s="56"/>
      <c r="J11" s="55"/>
      <c r="K11" s="57"/>
      <c r="L11" s="8"/>
      <c r="M11" s="11"/>
      <c r="O11" s="4"/>
      <c r="P11" s="17"/>
      <c r="Q11" s="632"/>
      <c r="R11" s="5"/>
    </row>
    <row r="12" spans="1:18" ht="19.5" customHeight="1">
      <c r="A12" s="622"/>
      <c r="B12" s="58" t="s">
        <v>129</v>
      </c>
      <c r="C12" s="59"/>
      <c r="D12" s="59"/>
      <c r="E12" s="60" t="e">
        <f>'Proc datos brutos'!G8</f>
        <v>#NUM!</v>
      </c>
      <c r="F12" s="61" t="e">
        <f>(E12*(170.18/$E$11))</f>
        <v>#NUM!</v>
      </c>
      <c r="G12" s="62"/>
      <c r="H12" s="62"/>
      <c r="I12" s="63"/>
      <c r="J12" s="62"/>
      <c r="K12" s="64" t="e">
        <f>(F12-89.92)/4.5</f>
        <v>#NUM!</v>
      </c>
      <c r="L12" s="8">
        <v>2</v>
      </c>
      <c r="M12" s="11">
        <v>1</v>
      </c>
      <c r="O12" s="4"/>
      <c r="P12" s="17"/>
      <c r="Q12" s="632"/>
      <c r="R12" s="5"/>
    </row>
    <row r="13" spans="1:18" ht="19.5" customHeight="1">
      <c r="A13" s="27"/>
      <c r="B13" s="51"/>
      <c r="C13" s="52"/>
      <c r="D13" s="52"/>
      <c r="E13" s="53"/>
      <c r="F13" s="54"/>
      <c r="G13" s="55"/>
      <c r="H13" s="55"/>
      <c r="I13" s="56"/>
      <c r="J13" s="55"/>
      <c r="K13" s="57"/>
      <c r="L13" s="8"/>
      <c r="M13" s="11"/>
      <c r="O13" s="4"/>
      <c r="P13" s="17"/>
      <c r="Q13" s="632"/>
      <c r="R13" s="5"/>
    </row>
    <row r="14" spans="1:18" ht="19.5" customHeight="1">
      <c r="A14" s="623" t="s">
        <v>141</v>
      </c>
      <c r="B14" s="65" t="s">
        <v>8</v>
      </c>
      <c r="C14" s="66"/>
      <c r="D14" s="66"/>
      <c r="E14" s="67" t="e">
        <f>'Proc datos brutos'!G10</f>
        <v>#NUM!</v>
      </c>
      <c r="F14" s="47" t="e">
        <f aca="true" t="shared" si="0" ref="F14:F19">(E14*(170.18/$E$11))</f>
        <v>#NUM!</v>
      </c>
      <c r="G14" s="68"/>
      <c r="H14" s="68"/>
      <c r="I14" s="69"/>
      <c r="J14" s="68"/>
      <c r="K14" s="70" t="e">
        <f>(F14-38.04)/1.92</f>
        <v>#NUM!</v>
      </c>
      <c r="L14" s="9"/>
      <c r="M14" s="11">
        <v>6</v>
      </c>
      <c r="O14" s="4"/>
      <c r="P14" s="17"/>
      <c r="Q14" s="632"/>
      <c r="R14" s="5"/>
    </row>
    <row r="15" spans="1:18" ht="19.5" customHeight="1">
      <c r="A15" s="624"/>
      <c r="B15" s="71" t="s">
        <v>9</v>
      </c>
      <c r="C15" s="72"/>
      <c r="D15" s="72"/>
      <c r="E15" s="73" t="e">
        <f>'Proc datos brutos'!G11</f>
        <v>#NUM!</v>
      </c>
      <c r="F15" s="54" t="e">
        <f t="shared" si="0"/>
        <v>#NUM!</v>
      </c>
      <c r="G15" s="74"/>
      <c r="H15" s="74"/>
      <c r="I15" s="75"/>
      <c r="J15" s="74"/>
      <c r="K15" s="76" t="e">
        <f>(F15-27.92)/1.74</f>
        <v>#NUM!</v>
      </c>
      <c r="L15" s="9"/>
      <c r="M15" s="11">
        <v>5</v>
      </c>
      <c r="O15" s="4"/>
      <c r="P15" s="17"/>
      <c r="Q15" s="632"/>
      <c r="R15" s="5"/>
    </row>
    <row r="16" spans="1:18" ht="19.5" customHeight="1">
      <c r="A16" s="624"/>
      <c r="B16" s="71" t="s">
        <v>132</v>
      </c>
      <c r="C16" s="72"/>
      <c r="D16" s="72"/>
      <c r="E16" s="73" t="e">
        <f>'Proc datos brutos'!G12</f>
        <v>#NUM!</v>
      </c>
      <c r="F16" s="54" t="e">
        <f t="shared" si="0"/>
        <v>#NUM!</v>
      </c>
      <c r="G16" s="74"/>
      <c r="H16" s="74"/>
      <c r="I16" s="75"/>
      <c r="J16" s="74"/>
      <c r="K16" s="76" t="e">
        <f>(F16-17.5)/1.38</f>
        <v>#NUM!</v>
      </c>
      <c r="L16" s="9"/>
      <c r="M16" s="11">
        <v>4</v>
      </c>
      <c r="O16" s="4"/>
      <c r="P16" s="17"/>
      <c r="Q16" s="632"/>
      <c r="R16" s="5"/>
    </row>
    <row r="17" spans="1:18" ht="19.5" customHeight="1">
      <c r="A17" s="624"/>
      <c r="B17" s="71" t="s">
        <v>11</v>
      </c>
      <c r="C17" s="72"/>
      <c r="D17" s="72"/>
      <c r="E17" s="73" t="e">
        <f>'Proc datos brutos'!G13</f>
        <v>#NUM!</v>
      </c>
      <c r="F17" s="54" t="e">
        <f t="shared" si="0"/>
        <v>#NUM!</v>
      </c>
      <c r="G17" s="74"/>
      <c r="H17" s="74"/>
      <c r="I17" s="75"/>
      <c r="J17" s="74"/>
      <c r="K17" s="76" t="e">
        <f>(F17-28.84)/1.75</f>
        <v>#NUM!</v>
      </c>
      <c r="L17" s="9"/>
      <c r="M17" s="11">
        <v>3</v>
      </c>
      <c r="O17" s="4"/>
      <c r="P17" s="17"/>
      <c r="Q17" s="632"/>
      <c r="R17" s="5"/>
    </row>
    <row r="18" spans="1:18" ht="19.5" customHeight="1">
      <c r="A18" s="624"/>
      <c r="B18" s="71" t="s">
        <v>12</v>
      </c>
      <c r="C18" s="72"/>
      <c r="D18" s="72"/>
      <c r="E18" s="73" t="e">
        <f>'Proc datos brutos'!G14</f>
        <v>#NUM!</v>
      </c>
      <c r="F18" s="54" t="e">
        <f t="shared" si="0"/>
        <v>#NUM!</v>
      </c>
      <c r="G18" s="74"/>
      <c r="H18" s="74"/>
      <c r="I18" s="75"/>
      <c r="J18" s="74"/>
      <c r="K18" s="76" t="e">
        <f>(F18-6.48)/0.35</f>
        <v>#NUM!</v>
      </c>
      <c r="L18" s="9"/>
      <c r="M18" s="11">
        <v>2</v>
      </c>
      <c r="O18" s="4"/>
      <c r="P18" s="17"/>
      <c r="Q18" s="632"/>
      <c r="R18" s="5"/>
    </row>
    <row r="19" spans="1:18" ht="19.5" customHeight="1">
      <c r="A19" s="625"/>
      <c r="B19" s="77" t="s">
        <v>13</v>
      </c>
      <c r="C19" s="78"/>
      <c r="D19" s="78"/>
      <c r="E19" s="79" t="e">
        <f>'Proc datos brutos'!G15</f>
        <v>#NUM!</v>
      </c>
      <c r="F19" s="61" t="e">
        <f t="shared" si="0"/>
        <v>#NUM!</v>
      </c>
      <c r="G19" s="80"/>
      <c r="H19" s="80"/>
      <c r="I19" s="81"/>
      <c r="J19" s="80"/>
      <c r="K19" s="82" t="e">
        <f>(F19-9.52)/0.48</f>
        <v>#NUM!</v>
      </c>
      <c r="L19" s="9"/>
      <c r="M19" s="11">
        <v>1</v>
      </c>
      <c r="O19" s="4"/>
      <c r="P19" s="17"/>
      <c r="Q19" s="632"/>
      <c r="R19" s="5"/>
    </row>
    <row r="20" spans="1:18" ht="19.5" customHeight="1">
      <c r="A20" s="28"/>
      <c r="B20" s="71"/>
      <c r="C20" s="72"/>
      <c r="D20" s="72"/>
      <c r="E20" s="73"/>
      <c r="F20" s="54"/>
      <c r="G20" s="74"/>
      <c r="H20" s="74"/>
      <c r="I20" s="75"/>
      <c r="J20" s="74"/>
      <c r="K20" s="76"/>
      <c r="L20" s="9"/>
      <c r="M20" s="11"/>
      <c r="O20" s="4"/>
      <c r="P20" s="17"/>
      <c r="Q20" s="632"/>
      <c r="R20" s="5"/>
    </row>
    <row r="21" spans="1:18" ht="19.5" customHeight="1">
      <c r="A21" s="620" t="s">
        <v>140</v>
      </c>
      <c r="B21" s="44" t="s">
        <v>14</v>
      </c>
      <c r="C21" s="45"/>
      <c r="D21" s="45"/>
      <c r="E21" s="46" t="e">
        <f>'Proc datos brutos'!G17</f>
        <v>#NUM!</v>
      </c>
      <c r="F21" s="47" t="e">
        <f aca="true" t="shared" si="1" ref="F21:F30">(E21*(170.18/$E$11))</f>
        <v>#NUM!</v>
      </c>
      <c r="G21" s="48"/>
      <c r="H21" s="48"/>
      <c r="I21" s="49"/>
      <c r="J21" s="48"/>
      <c r="K21" s="50" t="e">
        <f>(F21-56)/1.44</f>
        <v>#NUM!</v>
      </c>
      <c r="L21" s="9"/>
      <c r="M21" s="11">
        <v>10</v>
      </c>
      <c r="O21" s="4"/>
      <c r="P21" s="17"/>
      <c r="Q21" s="632"/>
      <c r="R21" s="5"/>
    </row>
    <row r="22" spans="1:18" ht="19.5" customHeight="1">
      <c r="A22" s="626"/>
      <c r="B22" s="51" t="s">
        <v>15</v>
      </c>
      <c r="C22" s="52"/>
      <c r="D22" s="52"/>
      <c r="E22" s="53" t="e">
        <f>'Proc datos brutos'!G18</f>
        <v>#NUM!</v>
      </c>
      <c r="F22" s="54" t="e">
        <f t="shared" si="1"/>
        <v>#NUM!</v>
      </c>
      <c r="G22" s="55"/>
      <c r="H22" s="55"/>
      <c r="I22" s="56"/>
      <c r="J22" s="55">
        <f>IF(P22="","",E22-P22)</f>
      </c>
      <c r="K22" s="57" t="e">
        <f>(F22-26.89)/2.33</f>
        <v>#NUM!</v>
      </c>
      <c r="L22" s="9"/>
      <c r="M22" s="11">
        <v>9</v>
      </c>
      <c r="O22" s="4"/>
      <c r="P22" s="17"/>
      <c r="Q22" s="632"/>
      <c r="R22" s="5"/>
    </row>
    <row r="23" spans="1:18" ht="19.5" customHeight="1">
      <c r="A23" s="626"/>
      <c r="B23" s="51" t="s">
        <v>16</v>
      </c>
      <c r="C23" s="52"/>
      <c r="D23" s="52"/>
      <c r="E23" s="53" t="e">
        <f>'Proc datos brutos'!G19</f>
        <v>#NUM!</v>
      </c>
      <c r="F23" s="54" t="e">
        <f t="shared" si="1"/>
        <v>#NUM!</v>
      </c>
      <c r="G23" s="55"/>
      <c r="H23" s="55"/>
      <c r="I23" s="56"/>
      <c r="J23" s="55">
        <f aca="true" t="shared" si="2" ref="J23:J30">IF(P23="","",E23-P23)</f>
      </c>
      <c r="K23" s="57" t="e">
        <f>(F23-29.41)/2.37</f>
        <v>#NUM!</v>
      </c>
      <c r="L23" s="9"/>
      <c r="M23" s="11">
        <v>8</v>
      </c>
      <c r="O23" s="4"/>
      <c r="P23" s="17"/>
      <c r="Q23" s="632"/>
      <c r="R23" s="5"/>
    </row>
    <row r="24" spans="1:18" ht="19.5" customHeight="1">
      <c r="A24" s="626"/>
      <c r="B24" s="51" t="s">
        <v>133</v>
      </c>
      <c r="C24" s="52"/>
      <c r="D24" s="52"/>
      <c r="E24" s="53" t="e">
        <f>'Proc datos brutos'!G20</f>
        <v>#NUM!</v>
      </c>
      <c r="F24" s="54" t="e">
        <f t="shared" si="1"/>
        <v>#NUM!</v>
      </c>
      <c r="G24" s="55"/>
      <c r="H24" s="55"/>
      <c r="I24" s="56"/>
      <c r="J24" s="55">
        <f t="shared" si="2"/>
      </c>
      <c r="K24" s="57" t="e">
        <f>(F24-25.13)/1.41</f>
        <v>#NUM!</v>
      </c>
      <c r="L24" s="8">
        <v>9</v>
      </c>
      <c r="M24" s="11">
        <v>7</v>
      </c>
      <c r="O24" s="4"/>
      <c r="P24" s="17"/>
      <c r="Q24" s="632"/>
      <c r="R24" s="5"/>
    </row>
    <row r="25" spans="1:18" ht="19.5" customHeight="1">
      <c r="A25" s="626"/>
      <c r="B25" s="51" t="s">
        <v>25</v>
      </c>
      <c r="C25" s="52"/>
      <c r="D25" s="52"/>
      <c r="E25" s="53" t="e">
        <f>'Proc datos brutos'!G21</f>
        <v>#NUM!</v>
      </c>
      <c r="F25" s="54" t="e">
        <f t="shared" si="1"/>
        <v>#NUM!</v>
      </c>
      <c r="G25" s="55"/>
      <c r="H25" s="55"/>
      <c r="I25" s="56"/>
      <c r="J25" s="55">
        <f t="shared" si="2"/>
      </c>
      <c r="K25" s="57" t="e">
        <f>(F25-87.86)/5.18</f>
        <v>#NUM!</v>
      </c>
      <c r="L25" s="8">
        <v>8</v>
      </c>
      <c r="M25" s="11">
        <v>6</v>
      </c>
      <c r="O25" s="4"/>
      <c r="P25" s="17"/>
      <c r="Q25" s="632"/>
      <c r="R25" s="5"/>
    </row>
    <row r="26" spans="1:18" ht="19.5" customHeight="1">
      <c r="A26" s="626"/>
      <c r="B26" s="51" t="s">
        <v>18</v>
      </c>
      <c r="C26" s="52"/>
      <c r="D26" s="52"/>
      <c r="E26" s="53" t="e">
        <f>'Proc datos brutos'!G22</f>
        <v>#NUM!</v>
      </c>
      <c r="F26" s="54" t="e">
        <f t="shared" si="1"/>
        <v>#NUM!</v>
      </c>
      <c r="G26" s="55"/>
      <c r="H26" s="55"/>
      <c r="I26" s="56"/>
      <c r="J26" s="55">
        <f t="shared" si="2"/>
      </c>
      <c r="K26" s="57" t="e">
        <f>(F26-71.91)/4.45</f>
        <v>#NUM!</v>
      </c>
      <c r="L26" s="8">
        <v>7</v>
      </c>
      <c r="M26" s="11">
        <v>5</v>
      </c>
      <c r="O26" s="4"/>
      <c r="P26" s="17"/>
      <c r="Q26" s="632"/>
      <c r="R26" s="5"/>
    </row>
    <row r="27" spans="1:18" ht="19.5" customHeight="1">
      <c r="A27" s="626"/>
      <c r="B27" s="51" t="s">
        <v>134</v>
      </c>
      <c r="C27" s="52"/>
      <c r="D27" s="52"/>
      <c r="E27" s="53" t="e">
        <f>'Proc datos brutos'!G23</f>
        <v>#NUM!</v>
      </c>
      <c r="F27" s="54" t="e">
        <f t="shared" si="1"/>
        <v>#NUM!</v>
      </c>
      <c r="G27" s="55"/>
      <c r="H27" s="55"/>
      <c r="I27" s="56"/>
      <c r="J27" s="55">
        <f t="shared" si="2"/>
      </c>
      <c r="K27" s="57" t="e">
        <f>(F27-94.67)/5.58</f>
        <v>#NUM!</v>
      </c>
      <c r="L27" s="8">
        <v>5</v>
      </c>
      <c r="M27" s="11">
        <v>4</v>
      </c>
      <c r="O27" s="4"/>
      <c r="P27" s="17"/>
      <c r="Q27" s="632"/>
      <c r="R27" s="5"/>
    </row>
    <row r="28" spans="1:18" ht="19.5" customHeight="1">
      <c r="A28" s="626"/>
      <c r="B28" s="51" t="s">
        <v>144</v>
      </c>
      <c r="C28" s="52"/>
      <c r="D28" s="52"/>
      <c r="E28" s="53" t="e">
        <f>'Proc datos brutos'!G24</f>
        <v>#NUM!</v>
      </c>
      <c r="F28" s="54" t="e">
        <f t="shared" si="1"/>
        <v>#NUM!</v>
      </c>
      <c r="G28" s="55"/>
      <c r="H28" s="55"/>
      <c r="I28" s="56"/>
      <c r="J28" s="55">
        <f t="shared" si="2"/>
      </c>
      <c r="K28" s="57" t="e">
        <f>(F28-55.82)/4.23</f>
        <v>#NUM!</v>
      </c>
      <c r="L28" s="8">
        <v>4</v>
      </c>
      <c r="M28" s="11">
        <v>3</v>
      </c>
      <c r="O28" s="4"/>
      <c r="P28" s="17"/>
      <c r="Q28" s="632"/>
      <c r="R28" s="5"/>
    </row>
    <row r="29" spans="1:18" ht="19.5" customHeight="1">
      <c r="A29" s="626"/>
      <c r="B29" s="51" t="s">
        <v>21</v>
      </c>
      <c r="C29" s="52"/>
      <c r="D29" s="52"/>
      <c r="E29" s="53" t="e">
        <f>'Proc datos brutos'!G25</f>
        <v>#NUM!</v>
      </c>
      <c r="F29" s="54" t="e">
        <f t="shared" si="1"/>
        <v>#NUM!</v>
      </c>
      <c r="G29" s="55"/>
      <c r="H29" s="55"/>
      <c r="I29" s="56"/>
      <c r="J29" s="55">
        <f t="shared" si="2"/>
      </c>
      <c r="K29" s="57" t="e">
        <f>(E29-53.2)/4.56</f>
        <v>#NUM!</v>
      </c>
      <c r="L29" s="8"/>
      <c r="M29" s="11">
        <v>2</v>
      </c>
      <c r="O29" s="4"/>
      <c r="P29" s="17"/>
      <c r="Q29" s="632"/>
      <c r="R29" s="5"/>
    </row>
    <row r="30" spans="1:18" ht="19.5" customHeight="1">
      <c r="A30" s="627"/>
      <c r="B30" s="58" t="s">
        <v>22</v>
      </c>
      <c r="C30" s="59"/>
      <c r="D30" s="59"/>
      <c r="E30" s="60" t="e">
        <f>'Proc datos brutos'!G26</f>
        <v>#NUM!</v>
      </c>
      <c r="F30" s="61" t="e">
        <f t="shared" si="1"/>
        <v>#NUM!</v>
      </c>
      <c r="G30" s="62"/>
      <c r="H30" s="62"/>
      <c r="I30" s="63"/>
      <c r="J30" s="62">
        <f t="shared" si="2"/>
      </c>
      <c r="K30" s="64" t="e">
        <f>(F30-35.25)/2.3</f>
        <v>#NUM!</v>
      </c>
      <c r="L30" s="8"/>
      <c r="M30" s="11">
        <v>1</v>
      </c>
      <c r="O30" s="4"/>
      <c r="P30" s="17"/>
      <c r="Q30" s="632"/>
      <c r="R30" s="5"/>
    </row>
    <row r="31" spans="1:18" ht="19.5" customHeight="1">
      <c r="A31" s="29"/>
      <c r="B31" s="51"/>
      <c r="C31" s="52"/>
      <c r="D31" s="52"/>
      <c r="E31" s="53"/>
      <c r="F31" s="54"/>
      <c r="G31" s="55"/>
      <c r="H31" s="55"/>
      <c r="I31" s="56"/>
      <c r="J31" s="55"/>
      <c r="K31" s="57"/>
      <c r="L31" s="8"/>
      <c r="M31" s="11"/>
      <c r="O31" s="4"/>
      <c r="P31" s="17"/>
      <c r="Q31" s="632"/>
      <c r="R31" s="5"/>
    </row>
    <row r="32" spans="1:18" ht="19.5" customHeight="1">
      <c r="A32" s="623" t="s">
        <v>139</v>
      </c>
      <c r="B32" s="65" t="s">
        <v>135</v>
      </c>
      <c r="C32" s="66"/>
      <c r="D32" s="66"/>
      <c r="E32" s="67" t="e">
        <f>'Proc datos brutos'!G28</f>
        <v>#NUM!</v>
      </c>
      <c r="F32" s="47" t="e">
        <f aca="true" t="shared" si="3" ref="F32:F37">(E32*(170.18/$E$11))</f>
        <v>#NUM!</v>
      </c>
      <c r="G32" s="68"/>
      <c r="H32" s="68"/>
      <c r="I32" s="69"/>
      <c r="J32" s="68">
        <f aca="true" t="shared" si="4" ref="J32:J37">IF(P32="","",E32-P32)</f>
      </c>
      <c r="K32" s="70" t="e">
        <f>(F32-15.4)/4.47</f>
        <v>#NUM!</v>
      </c>
      <c r="L32" s="9"/>
      <c r="M32" s="11">
        <v>6</v>
      </c>
      <c r="O32" s="4"/>
      <c r="P32" s="17"/>
      <c r="Q32" s="632"/>
      <c r="R32" s="5"/>
    </row>
    <row r="33" spans="1:18" ht="19.5" customHeight="1">
      <c r="A33" s="624"/>
      <c r="B33" s="71" t="s">
        <v>136</v>
      </c>
      <c r="C33" s="72"/>
      <c r="D33" s="72"/>
      <c r="E33" s="73" t="e">
        <f>'Proc datos brutos'!G29</f>
        <v>#NUM!</v>
      </c>
      <c r="F33" s="54" t="e">
        <f t="shared" si="3"/>
        <v>#NUM!</v>
      </c>
      <c r="G33" s="74"/>
      <c r="H33" s="74"/>
      <c r="I33" s="75"/>
      <c r="J33" s="74">
        <f t="shared" si="4"/>
      </c>
      <c r="K33" s="76" t="e">
        <f>(F33-17.2)/5.07</f>
        <v>#NUM!</v>
      </c>
      <c r="L33" s="8">
        <v>14</v>
      </c>
      <c r="M33" s="11">
        <v>5</v>
      </c>
      <c r="O33" s="4"/>
      <c r="P33" s="17"/>
      <c r="Q33" s="632"/>
      <c r="R33" s="5"/>
    </row>
    <row r="34" spans="1:18" ht="19.5" customHeight="1">
      <c r="A34" s="624"/>
      <c r="B34" s="71" t="s">
        <v>23</v>
      </c>
      <c r="C34" s="72"/>
      <c r="D34" s="72"/>
      <c r="E34" s="73" t="e">
        <f>'Proc datos brutos'!G30</f>
        <v>#NUM!</v>
      </c>
      <c r="F34" s="54" t="e">
        <f t="shared" si="3"/>
        <v>#NUM!</v>
      </c>
      <c r="G34" s="74"/>
      <c r="H34" s="74"/>
      <c r="I34" s="75"/>
      <c r="J34" s="74">
        <f t="shared" si="4"/>
      </c>
      <c r="K34" s="76" t="e">
        <f>(F34-15.4)/4.47</f>
        <v>#NUM!</v>
      </c>
      <c r="L34" s="8"/>
      <c r="M34" s="11">
        <v>4</v>
      </c>
      <c r="O34" s="4"/>
      <c r="P34" s="17"/>
      <c r="Q34" s="632"/>
      <c r="R34" s="5"/>
    </row>
    <row r="35" spans="1:18" ht="19.5" customHeight="1">
      <c r="A35" s="624"/>
      <c r="B35" s="71" t="s">
        <v>24</v>
      </c>
      <c r="C35" s="72"/>
      <c r="D35" s="72"/>
      <c r="E35" s="73" t="e">
        <f>'Proc datos brutos'!G31</f>
        <v>#NUM!</v>
      </c>
      <c r="F35" s="54" t="e">
        <f t="shared" si="3"/>
        <v>#NUM!</v>
      </c>
      <c r="G35" s="74"/>
      <c r="H35" s="74"/>
      <c r="I35" s="75"/>
      <c r="J35" s="74">
        <f t="shared" si="4"/>
      </c>
      <c r="K35" s="76" t="e">
        <f>(F35-25.4)/7.78</f>
        <v>#NUM!</v>
      </c>
      <c r="L35" s="8">
        <v>12</v>
      </c>
      <c r="M35" s="11">
        <v>3</v>
      </c>
      <c r="O35" s="4"/>
      <c r="P35" s="17"/>
      <c r="Q35" s="632"/>
      <c r="R35" s="5"/>
    </row>
    <row r="36" spans="1:18" ht="19.5" customHeight="1">
      <c r="A36" s="624"/>
      <c r="B36" s="71" t="s">
        <v>21</v>
      </c>
      <c r="C36" s="72"/>
      <c r="D36" s="72"/>
      <c r="E36" s="73" t="e">
        <f>'Proc datos brutos'!G32</f>
        <v>#NUM!</v>
      </c>
      <c r="F36" s="54" t="e">
        <f t="shared" si="3"/>
        <v>#NUM!</v>
      </c>
      <c r="G36" s="74"/>
      <c r="H36" s="74"/>
      <c r="I36" s="75"/>
      <c r="J36" s="74">
        <f t="shared" si="4"/>
      </c>
      <c r="K36" s="76" t="e">
        <f>(F36-27)/8.33</f>
        <v>#NUM!</v>
      </c>
      <c r="L36" s="8">
        <v>10</v>
      </c>
      <c r="M36" s="11">
        <v>2</v>
      </c>
      <c r="O36" s="4"/>
      <c r="P36" s="17"/>
      <c r="Q36" s="632"/>
      <c r="R36" s="5"/>
    </row>
    <row r="37" spans="1:18" ht="19.5" customHeight="1" thickBot="1">
      <c r="A37" s="625"/>
      <c r="B37" s="77" t="s">
        <v>137</v>
      </c>
      <c r="C37" s="78"/>
      <c r="D37" s="78"/>
      <c r="E37" s="79" t="e">
        <f>'Proc datos brutos'!G33</f>
        <v>#NUM!</v>
      </c>
      <c r="F37" s="61" t="e">
        <f t="shared" si="3"/>
        <v>#NUM!</v>
      </c>
      <c r="G37" s="80"/>
      <c r="H37" s="80"/>
      <c r="I37" s="81"/>
      <c r="J37" s="80">
        <f t="shared" si="4"/>
      </c>
      <c r="K37" s="82" t="e">
        <f>(F37-16)/4.67</f>
        <v>#NUM!</v>
      </c>
      <c r="L37" s="8"/>
      <c r="M37" s="11">
        <v>1</v>
      </c>
      <c r="O37" s="4"/>
      <c r="P37" s="17"/>
      <c r="Q37" s="633"/>
      <c r="R37" s="5"/>
    </row>
    <row r="38" spans="1:13" ht="78.75" customHeight="1">
      <c r="A38" s="560" t="s">
        <v>178</v>
      </c>
      <c r="B38" s="561"/>
      <c r="C38" s="561"/>
      <c r="D38" s="561"/>
      <c r="E38" s="561"/>
      <c r="F38" s="561"/>
      <c r="G38" s="561"/>
      <c r="H38" s="562"/>
      <c r="I38" s="553" t="s">
        <v>427</v>
      </c>
      <c r="J38" s="553"/>
      <c r="K38" s="553"/>
      <c r="L38" s="8">
        <v>7</v>
      </c>
      <c r="M38" s="9"/>
    </row>
    <row r="39" spans="1:13" ht="13.5" customHeight="1">
      <c r="A39" s="185"/>
      <c r="B39" s="14"/>
      <c r="C39" s="14"/>
      <c r="D39" s="14"/>
      <c r="E39" s="14"/>
      <c r="F39" s="14"/>
      <c r="G39" s="14"/>
      <c r="H39" s="14"/>
      <c r="I39" s="14"/>
      <c r="J39" s="14"/>
      <c r="K39" s="15"/>
      <c r="L39" s="8">
        <v>6</v>
      </c>
      <c r="M39" s="9"/>
    </row>
    <row r="40" spans="1:13" ht="13.5" customHeight="1">
      <c r="A40" s="185"/>
      <c r="B40" s="14"/>
      <c r="C40" s="12" t="s">
        <v>35</v>
      </c>
      <c r="D40" s="616">
        <f>'Proc datos brutos'!B2</f>
        <v>0</v>
      </c>
      <c r="E40" s="616"/>
      <c r="F40" s="616"/>
      <c r="G40" s="617"/>
      <c r="H40" s="12" t="s">
        <v>40</v>
      </c>
      <c r="I40" s="186">
        <f>'Proc datos brutos'!I3</f>
        <v>0</v>
      </c>
      <c r="J40" s="14"/>
      <c r="K40" s="15"/>
      <c r="L40" s="8">
        <v>5</v>
      </c>
      <c r="M40" s="9"/>
    </row>
    <row r="41" spans="1:13" ht="13.5" customHeight="1">
      <c r="A41" s="185"/>
      <c r="B41" s="14"/>
      <c r="C41" s="14"/>
      <c r="D41" s="14"/>
      <c r="E41" s="14"/>
      <c r="F41" s="14"/>
      <c r="G41" s="14"/>
      <c r="H41" s="14"/>
      <c r="I41" s="14"/>
      <c r="J41" s="14"/>
      <c r="K41" s="15"/>
      <c r="L41" s="8">
        <v>4</v>
      </c>
      <c r="M41" s="9"/>
    </row>
    <row r="42" spans="1:13" ht="13.5" customHeight="1">
      <c r="A42" s="185"/>
      <c r="B42" s="14"/>
      <c r="C42" s="556" t="s">
        <v>167</v>
      </c>
      <c r="D42" s="557"/>
      <c r="E42" s="187">
        <f>'Proc datos brutos'!I1</f>
        <v>0</v>
      </c>
      <c r="F42" s="556" t="s">
        <v>420</v>
      </c>
      <c r="G42" s="557"/>
      <c r="H42" s="558">
        <f>'Proc datos brutos'!B3</f>
        <v>0</v>
      </c>
      <c r="I42" s="559"/>
      <c r="J42" s="14"/>
      <c r="K42" s="15"/>
      <c r="L42" s="8">
        <v>3</v>
      </c>
      <c r="M42" s="9"/>
    </row>
    <row r="43" spans="1:13" ht="13.5" customHeight="1">
      <c r="A43" s="185"/>
      <c r="B43" s="14"/>
      <c r="C43" s="14"/>
      <c r="D43" s="14"/>
      <c r="E43" s="14"/>
      <c r="F43" s="14"/>
      <c r="G43" s="14"/>
      <c r="H43" s="14"/>
      <c r="I43" s="14"/>
      <c r="J43" s="14"/>
      <c r="K43" s="15"/>
      <c r="L43" s="8">
        <v>2</v>
      </c>
      <c r="M43" s="9"/>
    </row>
    <row r="44" spans="1:13" ht="13.5" customHeight="1">
      <c r="A44" s="576" t="s">
        <v>170</v>
      </c>
      <c r="B44" s="30"/>
      <c r="C44" s="30"/>
      <c r="D44" s="30"/>
      <c r="E44" s="30"/>
      <c r="F44" s="30"/>
      <c r="G44" s="30"/>
      <c r="H44" s="30"/>
      <c r="I44" s="30"/>
      <c r="J44" s="30"/>
      <c r="K44" s="642" t="s">
        <v>177</v>
      </c>
      <c r="L44" s="8"/>
      <c r="M44" s="9"/>
    </row>
    <row r="45" spans="1:13" ht="13.5" customHeight="1">
      <c r="A45" s="577"/>
      <c r="B45" s="14"/>
      <c r="C45" s="14"/>
      <c r="D45" s="14"/>
      <c r="E45" s="14"/>
      <c r="F45" s="14"/>
      <c r="G45" s="14"/>
      <c r="H45" s="14"/>
      <c r="I45" s="14"/>
      <c r="J45" s="14"/>
      <c r="K45" s="643"/>
      <c r="L45" s="9"/>
      <c r="M45" s="9"/>
    </row>
    <row r="46" spans="1:13" ht="12.75">
      <c r="A46" s="577"/>
      <c r="B46" s="14"/>
      <c r="C46" s="14"/>
      <c r="D46" s="14"/>
      <c r="E46" s="14"/>
      <c r="F46" s="14"/>
      <c r="G46" s="14"/>
      <c r="H46" s="14"/>
      <c r="I46" s="14"/>
      <c r="J46" s="14"/>
      <c r="K46" s="643"/>
      <c r="L46" s="8">
        <v>8</v>
      </c>
      <c r="M46" s="9"/>
    </row>
    <row r="47" spans="1:13" ht="12.75">
      <c r="A47" s="577"/>
      <c r="B47" s="14"/>
      <c r="C47" s="14"/>
      <c r="D47" s="14"/>
      <c r="E47" s="14"/>
      <c r="F47" s="14"/>
      <c r="G47" s="14"/>
      <c r="H47" s="14"/>
      <c r="I47" s="14"/>
      <c r="J47" s="14"/>
      <c r="K47" s="643"/>
      <c r="L47" s="8">
        <v>7</v>
      </c>
      <c r="M47" s="9"/>
    </row>
    <row r="48" spans="1:13" ht="12.75">
      <c r="A48" s="577"/>
      <c r="B48" s="14"/>
      <c r="C48" s="14"/>
      <c r="D48" s="14"/>
      <c r="E48" s="14"/>
      <c r="F48" s="14"/>
      <c r="G48" s="14"/>
      <c r="H48" s="14"/>
      <c r="I48" s="14"/>
      <c r="J48" s="14"/>
      <c r="K48" s="643"/>
      <c r="L48" s="8"/>
      <c r="M48" s="9"/>
    </row>
    <row r="49" spans="1:13" ht="12.75">
      <c r="A49" s="577"/>
      <c r="B49" s="14"/>
      <c r="C49" s="14"/>
      <c r="D49" s="14"/>
      <c r="E49" s="14"/>
      <c r="F49" s="14"/>
      <c r="G49" s="14"/>
      <c r="H49" s="14"/>
      <c r="I49" s="14"/>
      <c r="J49" s="14"/>
      <c r="K49" s="643"/>
      <c r="L49" s="8"/>
      <c r="M49" s="9"/>
    </row>
    <row r="50" spans="1:13" ht="12.75">
      <c r="A50" s="577"/>
      <c r="B50" s="14"/>
      <c r="C50" s="14"/>
      <c r="D50" s="14"/>
      <c r="E50" s="14"/>
      <c r="F50" s="14"/>
      <c r="G50" s="14"/>
      <c r="H50" s="14"/>
      <c r="I50" s="14"/>
      <c r="J50" s="14"/>
      <c r="K50" s="643"/>
      <c r="L50" s="8">
        <v>4</v>
      </c>
      <c r="M50" s="9"/>
    </row>
    <row r="51" spans="1:13" ht="12.75">
      <c r="A51" s="577"/>
      <c r="B51" s="14"/>
      <c r="C51" s="14"/>
      <c r="D51" s="14"/>
      <c r="E51" s="14"/>
      <c r="F51" s="14"/>
      <c r="G51" s="14"/>
      <c r="H51" s="14"/>
      <c r="I51" s="14"/>
      <c r="J51" s="14"/>
      <c r="K51" s="643"/>
      <c r="L51" s="8"/>
      <c r="M51" s="9"/>
    </row>
    <row r="52" spans="1:13" ht="12.75">
      <c r="A52" s="577"/>
      <c r="B52" s="14"/>
      <c r="C52" s="14"/>
      <c r="D52" s="14"/>
      <c r="E52" s="14"/>
      <c r="F52" s="14"/>
      <c r="G52" s="14"/>
      <c r="H52" s="14"/>
      <c r="I52" s="14"/>
      <c r="J52" s="14"/>
      <c r="K52" s="643"/>
      <c r="L52" s="8"/>
      <c r="M52" s="9"/>
    </row>
    <row r="53" spans="1:13" ht="12.75">
      <c r="A53" s="577"/>
      <c r="B53" s="14"/>
      <c r="C53" s="14"/>
      <c r="D53" s="14"/>
      <c r="E53" s="14"/>
      <c r="F53" s="14"/>
      <c r="G53" s="14"/>
      <c r="H53" s="14"/>
      <c r="I53" s="14"/>
      <c r="J53" s="14"/>
      <c r="K53" s="643"/>
      <c r="L53" s="8"/>
      <c r="M53" s="9"/>
    </row>
    <row r="54" spans="1:13" ht="12.75">
      <c r="A54" s="577"/>
      <c r="B54" s="14"/>
      <c r="C54" s="14"/>
      <c r="D54" s="14"/>
      <c r="E54" s="14"/>
      <c r="F54" s="14"/>
      <c r="G54" s="14"/>
      <c r="H54" s="14"/>
      <c r="I54" s="14"/>
      <c r="J54" s="14"/>
      <c r="K54" s="643"/>
      <c r="L54" s="8"/>
      <c r="M54" s="9"/>
    </row>
    <row r="55" spans="1:13" ht="12.75">
      <c r="A55" s="577"/>
      <c r="B55" s="14"/>
      <c r="C55" s="14"/>
      <c r="D55" s="14"/>
      <c r="E55" s="14"/>
      <c r="F55" s="14"/>
      <c r="G55" s="14"/>
      <c r="H55" s="14"/>
      <c r="I55" s="14"/>
      <c r="J55" s="14"/>
      <c r="K55" s="643"/>
      <c r="L55" s="8"/>
      <c r="M55" s="9"/>
    </row>
    <row r="56" spans="1:13" ht="12.75">
      <c r="A56" s="577"/>
      <c r="B56" s="14"/>
      <c r="C56" s="14"/>
      <c r="D56" s="14"/>
      <c r="E56" s="14"/>
      <c r="F56" s="14"/>
      <c r="G56" s="14"/>
      <c r="H56" s="14"/>
      <c r="I56" s="14"/>
      <c r="J56" s="14"/>
      <c r="K56" s="643"/>
      <c r="L56" s="8"/>
      <c r="M56" s="9"/>
    </row>
    <row r="57" spans="1:13" ht="27" customHeight="1">
      <c r="A57" s="578"/>
      <c r="B57" s="32"/>
      <c r="C57" s="32"/>
      <c r="D57" s="32"/>
      <c r="E57" s="32"/>
      <c r="F57" s="32"/>
      <c r="G57" s="32"/>
      <c r="H57" s="32"/>
      <c r="I57" s="32"/>
      <c r="J57" s="32"/>
      <c r="K57" s="644"/>
      <c r="L57" s="8"/>
      <c r="M57" s="9"/>
    </row>
    <row r="58" spans="1:13" ht="15.75" customHeight="1">
      <c r="A58" s="213"/>
      <c r="B58" s="214"/>
      <c r="C58" s="434"/>
      <c r="D58" s="215" t="s">
        <v>142</v>
      </c>
      <c r="E58" s="216" t="s">
        <v>79</v>
      </c>
      <c r="F58" s="467" t="s">
        <v>428</v>
      </c>
      <c r="G58" s="651" t="s">
        <v>131</v>
      </c>
      <c r="H58" s="651"/>
      <c r="I58" s="664" t="s">
        <v>166</v>
      </c>
      <c r="J58" s="665"/>
      <c r="K58" s="649" t="s">
        <v>143</v>
      </c>
      <c r="L58" s="10"/>
      <c r="M58" s="9"/>
    </row>
    <row r="59" spans="1:13" ht="12.75">
      <c r="A59" s="205" t="s">
        <v>49</v>
      </c>
      <c r="B59" s="41"/>
      <c r="C59" s="316"/>
      <c r="D59" s="42" t="e">
        <f>'Proc datos brutos'!C52</f>
        <v>#NUM!</v>
      </c>
      <c r="E59" s="43" t="e">
        <f>'Proc datos brutos'!I50</f>
        <v>#NUM!</v>
      </c>
      <c r="F59" s="468" t="e">
        <f>G51/($G$7/100)^2</f>
        <v>#DIV/0!</v>
      </c>
      <c r="G59" s="628" t="e">
        <f>'Proc datos brutos'!B51</f>
        <v>#NUM!</v>
      </c>
      <c r="H59" s="628"/>
      <c r="I59" s="629" t="e">
        <f aca="true" t="shared" si="5" ref="I59:I64">E59-C59</f>
        <v>#NUM!</v>
      </c>
      <c r="J59" s="630"/>
      <c r="K59" s="650"/>
      <c r="L59" s="11">
        <v>2</v>
      </c>
      <c r="M59" s="9"/>
    </row>
    <row r="60" spans="1:13" ht="12.75">
      <c r="A60" s="205" t="s">
        <v>53</v>
      </c>
      <c r="B60" s="41"/>
      <c r="C60" s="316"/>
      <c r="D60" s="42" t="e">
        <f>'Proc datos brutos'!C62</f>
        <v>#NUM!</v>
      </c>
      <c r="E60" s="43" t="e">
        <f>'Proc datos brutos'!I51</f>
        <v>#NUM!</v>
      </c>
      <c r="F60" s="469" t="e">
        <f>G52/($G$7/100)^2</f>
        <v>#DIV/0!</v>
      </c>
      <c r="G60" s="628" t="e">
        <f>'Proc datos brutos'!B61</f>
        <v>#NUM!</v>
      </c>
      <c r="H60" s="628"/>
      <c r="I60" s="629" t="e">
        <f t="shared" si="5"/>
        <v>#NUM!</v>
      </c>
      <c r="J60" s="630"/>
      <c r="K60" s="650"/>
      <c r="L60" s="11">
        <v>1</v>
      </c>
      <c r="M60" s="9"/>
    </row>
    <row r="61" spans="1:13" ht="12.75">
      <c r="A61" s="205" t="s">
        <v>62</v>
      </c>
      <c r="B61" s="41"/>
      <c r="C61" s="316"/>
      <c r="D61" s="42" t="e">
        <f>'Proc datos brutos'!C68</f>
        <v>#NUM!</v>
      </c>
      <c r="E61" s="43" t="e">
        <f>'Proc datos brutos'!I52</f>
        <v>#NUM!</v>
      </c>
      <c r="F61" s="469" t="e">
        <f>G53/($G$7/100)^2</f>
        <v>#DIV/0!</v>
      </c>
      <c r="G61" s="628" t="e">
        <f>'Proc datos brutos'!B67</f>
        <v>#NUM!</v>
      </c>
      <c r="H61" s="628"/>
      <c r="I61" s="629" t="e">
        <f t="shared" si="5"/>
        <v>#NUM!</v>
      </c>
      <c r="J61" s="630"/>
      <c r="K61" s="650"/>
      <c r="L61" s="11">
        <v>0</v>
      </c>
      <c r="M61" s="9"/>
    </row>
    <row r="62" spans="1:13" ht="12.75">
      <c r="A62" s="205" t="s">
        <v>67</v>
      </c>
      <c r="B62" s="41"/>
      <c r="C62" s="316"/>
      <c r="D62" s="42" t="e">
        <f>'Proc datos brutos'!C78</f>
        <v>#NUM!</v>
      </c>
      <c r="E62" s="43">
        <f>'Proc datos brutos'!I53</f>
        <v>0</v>
      </c>
      <c r="F62" s="469" t="e">
        <f>G54/($G$7/100)^2</f>
        <v>#DIV/0!</v>
      </c>
      <c r="G62" s="628" t="e">
        <f>'Proc datos brutos'!B75</f>
        <v>#NUM!</v>
      </c>
      <c r="H62" s="628"/>
      <c r="I62" s="629">
        <f t="shared" si="5"/>
        <v>0</v>
      </c>
      <c r="J62" s="630"/>
      <c r="K62" s="650"/>
      <c r="L62" s="11">
        <v>-1</v>
      </c>
      <c r="M62" s="9"/>
    </row>
    <row r="63" spans="1:13" ht="12.75">
      <c r="A63" s="205" t="s">
        <v>39</v>
      </c>
      <c r="B63" s="41"/>
      <c r="C63" s="316"/>
      <c r="D63" s="42" t="e">
        <f>'Proc datos brutos'!C47</f>
        <v>#NUM!</v>
      </c>
      <c r="E63" s="43" t="e">
        <f>'Proc datos brutos'!I54</f>
        <v>#NUM!</v>
      </c>
      <c r="F63" s="470" t="e">
        <f>G55/($G$7/100)^2</f>
        <v>#DIV/0!</v>
      </c>
      <c r="G63" s="628"/>
      <c r="H63" s="628"/>
      <c r="I63" s="629" t="e">
        <f t="shared" si="5"/>
        <v>#NUM!</v>
      </c>
      <c r="J63" s="630"/>
      <c r="K63" s="650"/>
      <c r="L63" s="11">
        <v>-2</v>
      </c>
      <c r="M63" s="9"/>
    </row>
    <row r="64" spans="1:13" ht="15.75" customHeight="1">
      <c r="A64" s="218" t="s">
        <v>99</v>
      </c>
      <c r="B64" s="219"/>
      <c r="C64" s="317"/>
      <c r="D64" s="220" t="e">
        <f>SUM(D59:D63)</f>
        <v>#NUM!</v>
      </c>
      <c r="E64" s="221" t="e">
        <f>'Proc datos brutos'!I55</f>
        <v>#NUM!</v>
      </c>
      <c r="F64" s="222" t="e">
        <f>E64*(170.18/$E$11)^3</f>
        <v>#NUM!</v>
      </c>
      <c r="G64" s="654" t="e">
        <f>(F64-64.58)/8.6</f>
        <v>#NUM!</v>
      </c>
      <c r="H64" s="654"/>
      <c r="I64" s="652" t="e">
        <f t="shared" si="5"/>
        <v>#NUM!</v>
      </c>
      <c r="J64" s="653"/>
      <c r="K64" s="650"/>
      <c r="L64" s="9"/>
      <c r="M64" s="9"/>
    </row>
    <row r="65" spans="1:13" ht="15.75" customHeight="1">
      <c r="A65" s="217" t="s">
        <v>297</v>
      </c>
      <c r="B65" s="283"/>
      <c r="C65" s="283"/>
      <c r="D65" s="283"/>
      <c r="E65" s="284"/>
      <c r="F65" s="283"/>
      <c r="G65" s="641" t="e">
        <f>'Proc datos brutos'!B82</f>
        <v>#NUM!</v>
      </c>
      <c r="H65" s="641"/>
      <c r="I65" s="223"/>
      <c r="J65" s="283"/>
      <c r="K65" s="285"/>
      <c r="L65" s="9"/>
      <c r="M65" s="9"/>
    </row>
    <row r="66" spans="1:13" ht="15.75" customHeight="1">
      <c r="A66" s="669" t="s">
        <v>296</v>
      </c>
      <c r="B66" s="670"/>
      <c r="C66" s="670"/>
      <c r="D66" s="670"/>
      <c r="E66" s="670"/>
      <c r="F66" s="670"/>
      <c r="G66" s="670"/>
      <c r="H66" s="670"/>
      <c r="I66" s="670"/>
      <c r="J66" s="670"/>
      <c r="K66" s="671"/>
      <c r="L66" s="9"/>
      <c r="M66" s="9"/>
    </row>
    <row r="67" spans="1:13" ht="12.75">
      <c r="A67" s="669"/>
      <c r="B67" s="670"/>
      <c r="C67" s="670"/>
      <c r="D67" s="670"/>
      <c r="E67" s="670"/>
      <c r="F67" s="670"/>
      <c r="G67" s="670"/>
      <c r="H67" s="670"/>
      <c r="I67" s="670"/>
      <c r="J67" s="670"/>
      <c r="K67" s="671"/>
      <c r="L67" s="9"/>
      <c r="M67" s="9"/>
    </row>
    <row r="68" spans="1:13" ht="12.75">
      <c r="A68" s="669"/>
      <c r="B68" s="670"/>
      <c r="C68" s="670"/>
      <c r="D68" s="670"/>
      <c r="E68" s="670"/>
      <c r="F68" s="670"/>
      <c r="G68" s="670"/>
      <c r="H68" s="670"/>
      <c r="I68" s="670"/>
      <c r="J68" s="670"/>
      <c r="K68" s="671"/>
      <c r="L68" s="9"/>
      <c r="M68" s="9"/>
    </row>
    <row r="69" spans="1:13" ht="12.75">
      <c r="A69" s="669"/>
      <c r="B69" s="670"/>
      <c r="C69" s="670"/>
      <c r="D69" s="670"/>
      <c r="E69" s="670"/>
      <c r="F69" s="670"/>
      <c r="G69" s="670"/>
      <c r="H69" s="670"/>
      <c r="I69" s="670"/>
      <c r="J69" s="670"/>
      <c r="K69" s="671"/>
      <c r="L69" s="9"/>
      <c r="M69" s="9"/>
    </row>
    <row r="70" spans="1:13" ht="14.25">
      <c r="A70" s="185"/>
      <c r="B70" s="14"/>
      <c r="C70" s="231" t="s">
        <v>271</v>
      </c>
      <c r="D70" s="232" t="s">
        <v>270</v>
      </c>
      <c r="E70" s="231" t="s">
        <v>236</v>
      </c>
      <c r="F70" s="14"/>
      <c r="G70" s="14"/>
      <c r="H70" s="14"/>
      <c r="I70" s="14"/>
      <c r="J70" s="14"/>
      <c r="K70" s="15"/>
      <c r="L70" s="9"/>
      <c r="M70" s="9"/>
    </row>
    <row r="71" spans="1:13" ht="14.25">
      <c r="A71" s="185"/>
      <c r="B71" s="14"/>
      <c r="C71" s="231" t="s">
        <v>272</v>
      </c>
      <c r="D71" s="232" t="s">
        <v>270</v>
      </c>
      <c r="E71" s="231" t="s">
        <v>237</v>
      </c>
      <c r="F71" s="14"/>
      <c r="G71" s="14"/>
      <c r="H71" s="14"/>
      <c r="I71" s="14"/>
      <c r="J71" s="14"/>
      <c r="K71" s="15"/>
      <c r="L71" s="9"/>
      <c r="M71" s="9"/>
    </row>
    <row r="72" spans="1:13" ht="14.25">
      <c r="A72" s="185"/>
      <c r="B72" s="14"/>
      <c r="C72" s="231" t="s">
        <v>273</v>
      </c>
      <c r="D72" s="232" t="s">
        <v>270</v>
      </c>
      <c r="E72" s="231" t="s">
        <v>238</v>
      </c>
      <c r="F72" s="14"/>
      <c r="G72" s="14"/>
      <c r="H72" s="14"/>
      <c r="I72" s="14"/>
      <c r="J72" s="14"/>
      <c r="K72" s="15"/>
      <c r="L72" s="9"/>
      <c r="M72" s="9"/>
    </row>
    <row r="73" spans="1:13" ht="14.25">
      <c r="A73" s="185"/>
      <c r="B73" s="14"/>
      <c r="C73" s="231" t="s">
        <v>274</v>
      </c>
      <c r="D73" s="232" t="s">
        <v>270</v>
      </c>
      <c r="E73" s="231" t="s">
        <v>239</v>
      </c>
      <c r="F73" s="14"/>
      <c r="G73" s="14"/>
      <c r="H73" s="14"/>
      <c r="I73" s="14"/>
      <c r="J73" s="14"/>
      <c r="K73" s="15"/>
      <c r="L73" s="9"/>
      <c r="M73" s="9"/>
    </row>
    <row r="74" spans="1:13" ht="14.25">
      <c r="A74" s="185"/>
      <c r="B74" s="14"/>
      <c r="C74" s="231" t="s">
        <v>275</v>
      </c>
      <c r="D74" s="232" t="s">
        <v>270</v>
      </c>
      <c r="E74" s="231" t="s">
        <v>240</v>
      </c>
      <c r="F74" s="14"/>
      <c r="G74" s="14"/>
      <c r="H74" s="14"/>
      <c r="I74" s="14"/>
      <c r="J74" s="14"/>
      <c r="K74" s="15"/>
      <c r="L74" s="9"/>
      <c r="M74" s="9"/>
    </row>
    <row r="75" spans="1:13" ht="12.75">
      <c r="A75" s="233" t="s">
        <v>241</v>
      </c>
      <c r="B75" s="18"/>
      <c r="C75" s="18"/>
      <c r="D75" s="18"/>
      <c r="E75" s="18"/>
      <c r="F75" s="18"/>
      <c r="G75" s="18"/>
      <c r="H75" s="18"/>
      <c r="I75" s="18"/>
      <c r="J75" s="18"/>
      <c r="K75" s="190"/>
      <c r="L75" s="9"/>
      <c r="M75" s="9"/>
    </row>
    <row r="76" spans="1:13" ht="12.75">
      <c r="A76" s="666" t="s">
        <v>242</v>
      </c>
      <c r="B76" s="667"/>
      <c r="C76" s="667"/>
      <c r="D76" s="667"/>
      <c r="E76" s="667"/>
      <c r="F76" s="667"/>
      <c r="G76" s="667"/>
      <c r="H76" s="667"/>
      <c r="I76" s="667"/>
      <c r="J76" s="667"/>
      <c r="K76" s="668"/>
      <c r="L76" s="9"/>
      <c r="M76" s="9"/>
    </row>
    <row r="77" spans="1:13" ht="12.75">
      <c r="A77" s="666"/>
      <c r="B77" s="667"/>
      <c r="C77" s="667"/>
      <c r="D77" s="667"/>
      <c r="E77" s="667"/>
      <c r="F77" s="667"/>
      <c r="G77" s="667"/>
      <c r="H77" s="667"/>
      <c r="I77" s="667"/>
      <c r="J77" s="667"/>
      <c r="K77" s="668"/>
      <c r="L77" s="9"/>
      <c r="M77" s="9"/>
    </row>
    <row r="78" spans="1:13" ht="12.75">
      <c r="A78" s="185"/>
      <c r="B78" s="14"/>
      <c r="C78" s="14"/>
      <c r="D78" s="14"/>
      <c r="E78" s="14"/>
      <c r="F78" s="14"/>
      <c r="G78" s="14"/>
      <c r="H78" s="14"/>
      <c r="I78" s="14"/>
      <c r="J78" s="14"/>
      <c r="K78" s="15"/>
      <c r="L78" s="9"/>
      <c r="M78" s="9"/>
    </row>
    <row r="79" spans="1:13" ht="12.75">
      <c r="A79" s="234" t="s">
        <v>243</v>
      </c>
      <c r="B79" s="14"/>
      <c r="C79" s="14"/>
      <c r="D79" s="14"/>
      <c r="E79" s="14"/>
      <c r="F79" s="14"/>
      <c r="G79" s="14"/>
      <c r="H79" s="14"/>
      <c r="I79" s="14"/>
      <c r="J79" s="14"/>
      <c r="K79" s="15"/>
      <c r="L79" s="9"/>
      <c r="M79" s="9"/>
    </row>
    <row r="80" spans="1:13" ht="12.75">
      <c r="A80" s="567" t="s">
        <v>244</v>
      </c>
      <c r="B80" s="568"/>
      <c r="C80" s="568"/>
      <c r="D80" s="568"/>
      <c r="E80" s="568"/>
      <c r="F80" s="568"/>
      <c r="G80" s="568"/>
      <c r="H80" s="568"/>
      <c r="I80" s="568"/>
      <c r="J80" s="568"/>
      <c r="K80" s="569"/>
      <c r="L80" s="9"/>
      <c r="M80" s="9"/>
    </row>
    <row r="81" spans="1:13" ht="17.25" customHeight="1">
      <c r="A81" s="570"/>
      <c r="B81" s="571"/>
      <c r="C81" s="571"/>
      <c r="D81" s="571"/>
      <c r="E81" s="571"/>
      <c r="F81" s="571"/>
      <c r="G81" s="571"/>
      <c r="H81" s="571"/>
      <c r="I81" s="571"/>
      <c r="J81" s="571"/>
      <c r="K81" s="572"/>
      <c r="L81" s="9"/>
      <c r="M81" s="9"/>
    </row>
    <row r="82" spans="1:13" ht="15.75" customHeight="1">
      <c r="A82" s="573" t="s">
        <v>276</v>
      </c>
      <c r="B82" s="565" t="s">
        <v>266</v>
      </c>
      <c r="C82" s="566"/>
      <c r="D82" s="566"/>
      <c r="E82" s="566"/>
      <c r="F82" s="566"/>
      <c r="G82" s="235" t="e">
        <f>IF(E10&lt;F154,E10,F154)</f>
        <v>#NUM!</v>
      </c>
      <c r="H82" s="235">
        <f>I82+1</f>
        <v>9</v>
      </c>
      <c r="I82" s="235">
        <f>IF(AND(J82="D",K82=1),2,IF(AND(J82="D",K82=2),4,IF(AND(J82="R",K82=1),6,8)))</f>
        <v>8</v>
      </c>
      <c r="J82" s="235">
        <f>'Proc datos brutos'!F2</f>
        <v>0</v>
      </c>
      <c r="K82" s="236">
        <f>'Proc datos brutos'!I2</f>
        <v>0</v>
      </c>
      <c r="L82" s="9"/>
      <c r="M82" s="9"/>
    </row>
    <row r="83" spans="1:13" ht="12.75">
      <c r="A83" s="574"/>
      <c r="B83" s="14"/>
      <c r="C83" s="563" t="s">
        <v>303</v>
      </c>
      <c r="D83" s="564"/>
      <c r="E83" s="563" t="s">
        <v>304</v>
      </c>
      <c r="F83" s="564"/>
      <c r="G83" s="14"/>
      <c r="H83" s="14"/>
      <c r="I83" s="14"/>
      <c r="J83" s="14"/>
      <c r="K83" s="15"/>
      <c r="L83" s="9"/>
      <c r="M83" s="9"/>
    </row>
    <row r="84" spans="1:13" ht="12.75">
      <c r="A84" s="574"/>
      <c r="B84" s="237" t="s">
        <v>454</v>
      </c>
      <c r="C84" s="238" t="s">
        <v>305</v>
      </c>
      <c r="D84" s="239">
        <f>VLOOKUP(L84,adiposo,$I$82)</f>
        <v>26.8</v>
      </c>
      <c r="E84" s="672" t="e">
        <f>D84*G82/100</f>
        <v>#NUM!</v>
      </c>
      <c r="F84" s="673"/>
      <c r="G84" s="14"/>
      <c r="H84" s="18" t="s">
        <v>300</v>
      </c>
      <c r="I84" s="18"/>
      <c r="J84" s="18"/>
      <c r="K84" s="190"/>
      <c r="L84" s="11">
        <v>1</v>
      </c>
      <c r="M84" s="9"/>
    </row>
    <row r="85" spans="1:13" ht="12.75">
      <c r="A85" s="574"/>
      <c r="B85" s="240" t="s">
        <v>183</v>
      </c>
      <c r="C85" s="241">
        <f>VLOOKUP(L85,adiposo,$I$82)</f>
        <v>26.9</v>
      </c>
      <c r="D85" s="242">
        <f>VLOOKUP(L85,adiposo,$H$82)</f>
        <v>29.5</v>
      </c>
      <c r="E85" s="243" t="e">
        <f aca="true" t="shared" si="6" ref="E85:F87">C85*$G$82/100</f>
        <v>#NUM!</v>
      </c>
      <c r="F85" s="244" t="e">
        <f t="shared" si="6"/>
        <v>#NUM!</v>
      </c>
      <c r="G85" s="14"/>
      <c r="H85" s="245" t="s">
        <v>307</v>
      </c>
      <c r="I85" s="18"/>
      <c r="J85" s="18" t="str">
        <f>IF(K82=1,"Masculino","Femenino")</f>
        <v>Femenino</v>
      </c>
      <c r="K85" s="190"/>
      <c r="L85" s="11">
        <v>2</v>
      </c>
      <c r="M85" s="9"/>
    </row>
    <row r="86" spans="1:13" ht="12.75">
      <c r="A86" s="574"/>
      <c r="B86" s="240" t="s">
        <v>453</v>
      </c>
      <c r="C86" s="241">
        <f>VLOOKUP(L86,adiposo,$I$82)</f>
        <v>29.6</v>
      </c>
      <c r="D86" s="242">
        <f>VLOOKUP(L86,adiposo,$H$82)</f>
        <v>36.4</v>
      </c>
      <c r="E86" s="243" t="e">
        <f t="shared" si="6"/>
        <v>#NUM!</v>
      </c>
      <c r="F86" s="244" t="e">
        <f t="shared" si="6"/>
        <v>#NUM!</v>
      </c>
      <c r="G86" s="14"/>
      <c r="H86" s="245" t="s">
        <v>308</v>
      </c>
      <c r="I86" s="18"/>
      <c r="J86" s="18" t="str">
        <f>IF(J82="D","Deportista","Recreacional")</f>
        <v>Recreacional</v>
      </c>
      <c r="K86" s="190"/>
      <c r="L86" s="11">
        <v>3</v>
      </c>
      <c r="M86" s="9"/>
    </row>
    <row r="87" spans="1:13" ht="12.75">
      <c r="A87" s="574"/>
      <c r="B87" s="240" t="s">
        <v>267</v>
      </c>
      <c r="C87" s="241">
        <f>VLOOKUP(L87,adiposo,$I$82)</f>
        <v>36.5</v>
      </c>
      <c r="D87" s="242">
        <f>VLOOKUP(L87,adiposo,$H$82)</f>
        <v>38.5</v>
      </c>
      <c r="E87" s="243" t="e">
        <f t="shared" si="6"/>
        <v>#NUM!</v>
      </c>
      <c r="F87" s="244" t="e">
        <f t="shared" si="6"/>
        <v>#NUM!</v>
      </c>
      <c r="G87" s="14"/>
      <c r="H87" s="14"/>
      <c r="I87" s="14"/>
      <c r="J87" s="14"/>
      <c r="K87" s="15"/>
      <c r="L87" s="11">
        <v>4</v>
      </c>
      <c r="M87" s="9"/>
    </row>
    <row r="88" spans="1:13" ht="12.75">
      <c r="A88" s="574"/>
      <c r="B88" s="240" t="s">
        <v>268</v>
      </c>
      <c r="C88" s="246" t="s">
        <v>306</v>
      </c>
      <c r="D88" s="247">
        <f>VLOOKUP(L88,adiposo,$I$82)</f>
        <v>38.6</v>
      </c>
      <c r="E88" s="618" t="e">
        <f>D88*G82/100</f>
        <v>#NUM!</v>
      </c>
      <c r="F88" s="619"/>
      <c r="G88" s="14"/>
      <c r="H88" s="14"/>
      <c r="I88" s="14"/>
      <c r="J88" s="14"/>
      <c r="K88" s="15"/>
      <c r="L88" s="11">
        <v>5</v>
      </c>
      <c r="M88" s="9"/>
    </row>
    <row r="89" spans="1:13" ht="12.75">
      <c r="A89" s="574"/>
      <c r="B89" s="636" t="s">
        <v>287</v>
      </c>
      <c r="C89" s="637"/>
      <c r="D89" s="637"/>
      <c r="E89" s="637"/>
      <c r="F89" s="637"/>
      <c r="G89" s="637"/>
      <c r="H89" s="637"/>
      <c r="I89" s="637"/>
      <c r="J89" s="637"/>
      <c r="K89" s="638"/>
      <c r="L89" s="9"/>
      <c r="M89" s="9"/>
    </row>
    <row r="90" spans="1:13" ht="12.75">
      <c r="A90" s="575"/>
      <c r="B90" s="639"/>
      <c r="C90" s="639"/>
      <c r="D90" s="639"/>
      <c r="E90" s="639"/>
      <c r="F90" s="639"/>
      <c r="G90" s="639"/>
      <c r="H90" s="639"/>
      <c r="I90" s="639"/>
      <c r="J90" s="639"/>
      <c r="K90" s="640"/>
      <c r="L90" s="9"/>
      <c r="M90" s="9"/>
    </row>
    <row r="91" spans="1:13" ht="78.75" customHeight="1">
      <c r="A91" s="560" t="s">
        <v>179</v>
      </c>
      <c r="B91" s="561"/>
      <c r="C91" s="561"/>
      <c r="D91" s="561"/>
      <c r="E91" s="561"/>
      <c r="F91" s="561"/>
      <c r="G91" s="561"/>
      <c r="H91" s="562"/>
      <c r="I91" s="553" t="s">
        <v>427</v>
      </c>
      <c r="J91" s="553"/>
      <c r="K91" s="553"/>
      <c r="L91" s="9"/>
      <c r="M91" s="9"/>
    </row>
    <row r="92" spans="1:13" ht="13.5" customHeight="1">
      <c r="A92" s="188"/>
      <c r="B92" s="30"/>
      <c r="C92" s="30"/>
      <c r="D92" s="30"/>
      <c r="E92" s="30"/>
      <c r="F92" s="30"/>
      <c r="G92" s="30"/>
      <c r="H92" s="30"/>
      <c r="I92" s="30"/>
      <c r="J92" s="30"/>
      <c r="K92" s="31"/>
      <c r="L92" s="9"/>
      <c r="M92" s="9"/>
    </row>
    <row r="93" spans="1:13" ht="13.5" customHeight="1">
      <c r="A93" s="185"/>
      <c r="B93" s="14"/>
      <c r="C93" s="12" t="s">
        <v>35</v>
      </c>
      <c r="D93" s="616">
        <f>'Proc datos brutos'!B2</f>
        <v>0</v>
      </c>
      <c r="E93" s="616"/>
      <c r="F93" s="616"/>
      <c r="G93" s="617"/>
      <c r="H93" s="12" t="s">
        <v>40</v>
      </c>
      <c r="I93" s="186">
        <f>'Proc datos brutos'!I3</f>
        <v>0</v>
      </c>
      <c r="J93" s="14"/>
      <c r="K93" s="15"/>
      <c r="L93" s="9"/>
      <c r="M93" s="9"/>
    </row>
    <row r="94" spans="1:13" ht="13.5" customHeight="1">
      <c r="A94" s="185"/>
      <c r="B94" s="14"/>
      <c r="C94" s="14"/>
      <c r="D94" s="14"/>
      <c r="E94" s="14"/>
      <c r="F94" s="14"/>
      <c r="G94" s="14"/>
      <c r="H94" s="14"/>
      <c r="I94" s="14"/>
      <c r="J94" s="14"/>
      <c r="K94" s="15"/>
      <c r="L94" s="9"/>
      <c r="M94" s="9"/>
    </row>
    <row r="95" spans="1:13" ht="13.5" customHeight="1">
      <c r="A95" s="185"/>
      <c r="B95" s="14"/>
      <c r="C95" s="556" t="s">
        <v>167</v>
      </c>
      <c r="D95" s="557"/>
      <c r="E95" s="187">
        <f>'Proc datos brutos'!I1</f>
        <v>0</v>
      </c>
      <c r="F95" s="556" t="s">
        <v>420</v>
      </c>
      <c r="G95" s="557"/>
      <c r="H95" s="558">
        <f>'Proc datos brutos'!B3</f>
        <v>0</v>
      </c>
      <c r="I95" s="559"/>
      <c r="J95" s="14"/>
      <c r="K95" s="15"/>
      <c r="L95" s="9"/>
      <c r="M95" s="9"/>
    </row>
    <row r="96" spans="1:13" ht="13.5" customHeight="1">
      <c r="A96" s="185"/>
      <c r="B96" s="14"/>
      <c r="C96" s="191"/>
      <c r="D96" s="191"/>
      <c r="E96" s="192"/>
      <c r="F96" s="191"/>
      <c r="G96" s="191"/>
      <c r="H96" s="193"/>
      <c r="I96" s="193"/>
      <c r="J96" s="14"/>
      <c r="K96" s="15"/>
      <c r="L96" s="9"/>
      <c r="M96" s="9"/>
    </row>
    <row r="97" spans="1:13" ht="15" customHeight="1">
      <c r="A97" s="677" t="s">
        <v>319</v>
      </c>
      <c r="B97" s="678"/>
      <c r="C97" s="678"/>
      <c r="D97" s="678"/>
      <c r="E97" s="678"/>
      <c r="F97" s="678"/>
      <c r="G97" s="678"/>
      <c r="H97" s="678"/>
      <c r="I97" s="678"/>
      <c r="J97" s="678"/>
      <c r="K97" s="679"/>
      <c r="L97" s="9"/>
      <c r="M97" s="9"/>
    </row>
    <row r="98" spans="1:13" ht="15" customHeight="1">
      <c r="A98" s="615" t="s">
        <v>293</v>
      </c>
      <c r="B98" s="613"/>
      <c r="C98" s="613"/>
      <c r="D98" s="613"/>
      <c r="E98" s="613"/>
      <c r="F98" s="613"/>
      <c r="G98" s="613"/>
      <c r="H98" s="613"/>
      <c r="I98" s="613"/>
      <c r="J98" s="613"/>
      <c r="K98" s="614"/>
      <c r="L98" s="9"/>
      <c r="M98" s="9"/>
    </row>
    <row r="99" spans="1:13" ht="15" customHeight="1">
      <c r="A99" s="615"/>
      <c r="B99" s="613"/>
      <c r="C99" s="613"/>
      <c r="D99" s="613"/>
      <c r="E99" s="613"/>
      <c r="F99" s="613"/>
      <c r="G99" s="613"/>
      <c r="H99" s="613"/>
      <c r="I99" s="613"/>
      <c r="J99" s="613"/>
      <c r="K99" s="614"/>
      <c r="L99" s="9"/>
      <c r="M99" s="9"/>
    </row>
    <row r="100" spans="1:13" ht="15" customHeight="1">
      <c r="A100" s="615"/>
      <c r="B100" s="613"/>
      <c r="C100" s="613"/>
      <c r="D100" s="613"/>
      <c r="E100" s="613"/>
      <c r="F100" s="613"/>
      <c r="G100" s="613"/>
      <c r="H100" s="613"/>
      <c r="I100" s="613"/>
      <c r="J100" s="613"/>
      <c r="K100" s="614"/>
      <c r="L100" s="9"/>
      <c r="M100" s="9"/>
    </row>
    <row r="101" spans="1:13" ht="15" customHeight="1">
      <c r="A101" s="655" t="s">
        <v>235</v>
      </c>
      <c r="B101" s="656"/>
      <c r="C101" s="656"/>
      <c r="D101" s="656"/>
      <c r="E101" s="656"/>
      <c r="F101" s="656"/>
      <c r="G101" s="656"/>
      <c r="H101" s="656"/>
      <c r="I101" s="656"/>
      <c r="J101" s="656"/>
      <c r="K101" s="657"/>
      <c r="L101" s="9"/>
      <c r="M101" s="9"/>
    </row>
    <row r="102" spans="1:13" ht="15" customHeight="1">
      <c r="A102" s="655"/>
      <c r="B102" s="656"/>
      <c r="C102" s="656"/>
      <c r="D102" s="656"/>
      <c r="E102" s="656"/>
      <c r="F102" s="656"/>
      <c r="G102" s="656"/>
      <c r="H102" s="656"/>
      <c r="I102" s="656"/>
      <c r="J102" s="656"/>
      <c r="K102" s="657"/>
      <c r="L102" s="9"/>
      <c r="M102" s="9"/>
    </row>
    <row r="103" spans="1:13" ht="24" customHeight="1">
      <c r="A103" s="658"/>
      <c r="B103" s="659"/>
      <c r="C103" s="659"/>
      <c r="D103" s="659"/>
      <c r="E103" s="659"/>
      <c r="F103" s="659"/>
      <c r="G103" s="659"/>
      <c r="H103" s="659"/>
      <c r="I103" s="659"/>
      <c r="J103" s="659"/>
      <c r="K103" s="660"/>
      <c r="L103" s="9"/>
      <c r="M103" s="9"/>
    </row>
    <row r="104" spans="1:13" ht="13.5" customHeight="1">
      <c r="A104" s="185"/>
      <c r="B104" s="14"/>
      <c r="C104" s="14"/>
      <c r="D104" s="14"/>
      <c r="E104" s="14"/>
      <c r="F104" s="14"/>
      <c r="G104" s="14"/>
      <c r="H104" s="14"/>
      <c r="I104" s="14"/>
      <c r="J104" s="14"/>
      <c r="K104" s="15"/>
      <c r="L104" s="9"/>
      <c r="M104" s="9"/>
    </row>
    <row r="105" spans="1:13" ht="13.5" customHeight="1">
      <c r="A105" s="185"/>
      <c r="B105" s="14"/>
      <c r="C105" s="14"/>
      <c r="D105" s="14"/>
      <c r="E105" s="14"/>
      <c r="F105" s="14"/>
      <c r="G105" s="14"/>
      <c r="H105" s="14"/>
      <c r="I105" s="14"/>
      <c r="J105" s="14"/>
      <c r="K105" s="15"/>
      <c r="L105" s="9"/>
      <c r="M105" s="9"/>
    </row>
    <row r="106" spans="1:13" ht="13.5" customHeight="1">
      <c r="A106" s="185"/>
      <c r="B106" s="14"/>
      <c r="C106" s="14"/>
      <c r="D106" s="14"/>
      <c r="E106" s="14"/>
      <c r="F106" s="14"/>
      <c r="G106" s="14"/>
      <c r="H106" s="14"/>
      <c r="I106" s="14"/>
      <c r="J106" s="14"/>
      <c r="K106" s="15"/>
      <c r="L106" s="9"/>
      <c r="M106" s="9"/>
    </row>
    <row r="107" spans="1:13" ht="14.25" customHeight="1">
      <c r="A107" s="185"/>
      <c r="B107" s="14"/>
      <c r="C107" s="14"/>
      <c r="D107" s="14"/>
      <c r="E107" s="14"/>
      <c r="F107" s="14"/>
      <c r="G107" s="14"/>
      <c r="H107" s="14"/>
      <c r="I107" s="14"/>
      <c r="J107" s="14"/>
      <c r="K107" s="15"/>
      <c r="L107" s="9"/>
      <c r="M107" s="9"/>
    </row>
    <row r="108" spans="1:13" ht="14.25" customHeight="1">
      <c r="A108" s="185"/>
      <c r="B108" s="14"/>
      <c r="C108" s="14"/>
      <c r="D108" s="14"/>
      <c r="E108" s="14"/>
      <c r="F108" s="14"/>
      <c r="G108" s="14"/>
      <c r="H108" s="14"/>
      <c r="I108" s="14"/>
      <c r="J108" s="14"/>
      <c r="K108" s="15"/>
      <c r="L108" s="9"/>
      <c r="M108" s="9"/>
    </row>
    <row r="109" spans="1:13" ht="12.75">
      <c r="A109" s="185"/>
      <c r="B109" s="14"/>
      <c r="C109" s="14"/>
      <c r="D109" s="14"/>
      <c r="E109" s="14"/>
      <c r="F109" s="14"/>
      <c r="G109" s="14"/>
      <c r="H109" s="14"/>
      <c r="I109" s="14"/>
      <c r="J109" s="14"/>
      <c r="K109" s="15"/>
      <c r="L109" s="9"/>
      <c r="M109" s="9"/>
    </row>
    <row r="110" spans="1:13" ht="12.75">
      <c r="A110" s="185"/>
      <c r="B110" s="14"/>
      <c r="C110" s="14"/>
      <c r="D110" s="14"/>
      <c r="E110" s="14"/>
      <c r="F110" s="14"/>
      <c r="G110" s="14"/>
      <c r="H110" s="14"/>
      <c r="I110" s="14"/>
      <c r="J110" s="14"/>
      <c r="K110" s="15"/>
      <c r="L110" s="9"/>
      <c r="M110" s="9"/>
    </row>
    <row r="111" spans="1:13" ht="12.75">
      <c r="A111" s="185"/>
      <c r="B111" s="14"/>
      <c r="C111" s="14"/>
      <c r="D111" s="14"/>
      <c r="E111" s="14"/>
      <c r="F111" s="14"/>
      <c r="G111" s="14"/>
      <c r="H111" s="14"/>
      <c r="I111" s="14"/>
      <c r="J111" s="14"/>
      <c r="K111" s="15"/>
      <c r="L111" s="9"/>
      <c r="M111" s="9"/>
    </row>
    <row r="112" spans="1:13" ht="12.75">
      <c r="A112" s="185"/>
      <c r="B112" s="14"/>
      <c r="C112" s="14"/>
      <c r="D112" s="14"/>
      <c r="E112" s="14"/>
      <c r="F112" s="14"/>
      <c r="G112" s="14"/>
      <c r="H112" s="14"/>
      <c r="I112" s="14"/>
      <c r="J112" s="14"/>
      <c r="K112" s="15"/>
      <c r="L112" s="9"/>
      <c r="M112" s="9"/>
    </row>
    <row r="113" spans="1:13" ht="12.75">
      <c r="A113" s="185"/>
      <c r="B113" s="14"/>
      <c r="C113" s="14"/>
      <c r="D113" s="14"/>
      <c r="E113" s="14"/>
      <c r="F113" s="14"/>
      <c r="G113" s="14"/>
      <c r="H113" s="14"/>
      <c r="I113" s="14"/>
      <c r="J113" s="14"/>
      <c r="K113" s="15"/>
      <c r="L113" s="9"/>
      <c r="M113" s="9"/>
    </row>
    <row r="114" spans="1:13" ht="12.75">
      <c r="A114" s="185"/>
      <c r="B114" s="14"/>
      <c r="C114" s="14"/>
      <c r="D114" s="14"/>
      <c r="E114" s="14"/>
      <c r="F114" s="14"/>
      <c r="G114" s="14"/>
      <c r="H114" s="14"/>
      <c r="I114" s="14"/>
      <c r="J114" s="14"/>
      <c r="K114" s="15"/>
      <c r="L114" s="9"/>
      <c r="M114" s="9"/>
    </row>
    <row r="115" spans="1:13" ht="12.75">
      <c r="A115" s="185"/>
      <c r="B115" s="14"/>
      <c r="C115" s="14"/>
      <c r="D115" s="14"/>
      <c r="E115" s="14"/>
      <c r="F115" s="14"/>
      <c r="G115" s="14"/>
      <c r="H115" s="14"/>
      <c r="I115" s="14"/>
      <c r="J115" s="14"/>
      <c r="K115" s="15"/>
      <c r="L115" s="9"/>
      <c r="M115" s="9"/>
    </row>
    <row r="116" spans="1:13" ht="12.75">
      <c r="A116" s="185"/>
      <c r="B116" s="14"/>
      <c r="C116" s="14"/>
      <c r="D116" s="14"/>
      <c r="E116" s="14"/>
      <c r="F116" s="14"/>
      <c r="G116" s="14"/>
      <c r="H116" s="14"/>
      <c r="I116" s="14"/>
      <c r="J116" s="14"/>
      <c r="K116" s="15"/>
      <c r="L116" s="9"/>
      <c r="M116" s="9"/>
    </row>
    <row r="117" spans="1:13" ht="12.75">
      <c r="A117" s="185"/>
      <c r="B117" s="14"/>
      <c r="C117" s="14"/>
      <c r="D117" s="14"/>
      <c r="E117" s="14"/>
      <c r="F117" s="14"/>
      <c r="G117" s="14"/>
      <c r="H117" s="14"/>
      <c r="I117" s="14"/>
      <c r="J117" s="14"/>
      <c r="K117" s="15"/>
      <c r="L117" s="9"/>
      <c r="M117" s="9"/>
    </row>
    <row r="118" spans="1:13" ht="12.75">
      <c r="A118" s="185"/>
      <c r="B118" s="14"/>
      <c r="C118" s="14"/>
      <c r="D118" s="14"/>
      <c r="E118" s="14"/>
      <c r="F118" s="14"/>
      <c r="G118" s="14"/>
      <c r="H118" s="14"/>
      <c r="I118" s="14"/>
      <c r="J118" s="14"/>
      <c r="K118" s="15"/>
      <c r="L118" s="9"/>
      <c r="M118" s="9"/>
    </row>
    <row r="119" spans="1:13" ht="12.75">
      <c r="A119" s="185"/>
      <c r="B119" s="14"/>
      <c r="C119" s="14"/>
      <c r="D119" s="14"/>
      <c r="E119" s="14"/>
      <c r="F119" s="14"/>
      <c r="G119" s="14"/>
      <c r="H119" s="14"/>
      <c r="I119" s="14"/>
      <c r="J119" s="14"/>
      <c r="K119" s="15"/>
      <c r="L119" s="9"/>
      <c r="M119" s="9"/>
    </row>
    <row r="120" spans="1:13" ht="12.75">
      <c r="A120" s="185"/>
      <c r="B120" s="14"/>
      <c r="C120" s="14"/>
      <c r="D120" s="14"/>
      <c r="E120" s="14"/>
      <c r="F120" s="14"/>
      <c r="G120" s="14"/>
      <c r="H120" s="14"/>
      <c r="I120" s="14"/>
      <c r="J120" s="14"/>
      <c r="K120" s="15"/>
      <c r="L120" s="9"/>
      <c r="M120" s="9"/>
    </row>
    <row r="121" spans="1:13" ht="12.75">
      <c r="A121" s="185"/>
      <c r="B121" s="14"/>
      <c r="C121" s="14"/>
      <c r="D121" s="14"/>
      <c r="E121" s="14"/>
      <c r="F121" s="14"/>
      <c r="G121" s="14"/>
      <c r="H121" s="14"/>
      <c r="I121" s="14"/>
      <c r="J121" s="14"/>
      <c r="K121" s="15"/>
      <c r="L121" s="9"/>
      <c r="M121" s="9"/>
    </row>
    <row r="122" spans="1:13" ht="12.75">
      <c r="A122" s="185"/>
      <c r="B122" s="14"/>
      <c r="C122" s="14"/>
      <c r="D122" s="14"/>
      <c r="E122" s="14"/>
      <c r="F122" s="14"/>
      <c r="G122" s="14"/>
      <c r="H122" s="14"/>
      <c r="I122" s="14"/>
      <c r="J122" s="14"/>
      <c r="K122" s="15"/>
      <c r="L122" s="9"/>
      <c r="M122" s="9"/>
    </row>
    <row r="123" spans="1:13" ht="12.75">
      <c r="A123" s="185"/>
      <c r="B123" s="14"/>
      <c r="C123" s="14"/>
      <c r="D123" s="14"/>
      <c r="E123" s="14"/>
      <c r="F123" s="14"/>
      <c r="G123" s="14"/>
      <c r="H123" s="14"/>
      <c r="I123" s="14"/>
      <c r="J123" s="14"/>
      <c r="K123" s="15"/>
      <c r="L123" s="9"/>
      <c r="M123" s="9"/>
    </row>
    <row r="124" spans="1:13" ht="12.75">
      <c r="A124" s="185"/>
      <c r="B124" s="14"/>
      <c r="C124" s="14"/>
      <c r="D124" s="14"/>
      <c r="E124" s="14"/>
      <c r="F124" s="14"/>
      <c r="G124" s="14"/>
      <c r="H124" s="14"/>
      <c r="I124" s="14"/>
      <c r="J124" s="14"/>
      <c r="K124" s="15"/>
      <c r="L124" s="9"/>
      <c r="M124" s="9"/>
    </row>
    <row r="125" spans="1:13" ht="12.75">
      <c r="A125" s="185"/>
      <c r="B125" s="14"/>
      <c r="C125" s="14"/>
      <c r="D125" s="14"/>
      <c r="E125" s="14"/>
      <c r="F125" s="14"/>
      <c r="G125" s="14"/>
      <c r="H125" s="14"/>
      <c r="I125" s="14"/>
      <c r="J125" s="14"/>
      <c r="K125" s="15"/>
      <c r="L125" s="9"/>
      <c r="M125" s="9"/>
    </row>
    <row r="126" spans="1:13" ht="12.75">
      <c r="A126" s="185"/>
      <c r="B126" s="14"/>
      <c r="C126" s="14"/>
      <c r="D126" s="14"/>
      <c r="E126" s="14"/>
      <c r="F126" s="14"/>
      <c r="G126" s="14"/>
      <c r="H126" s="14"/>
      <c r="I126" s="14"/>
      <c r="J126" s="14"/>
      <c r="K126" s="15"/>
      <c r="L126" s="9"/>
      <c r="M126" s="9"/>
    </row>
    <row r="127" spans="1:13" ht="12.75">
      <c r="A127" s="185"/>
      <c r="B127" s="14"/>
      <c r="C127" s="14"/>
      <c r="D127" s="14"/>
      <c r="E127" s="14"/>
      <c r="F127" s="14"/>
      <c r="G127" s="14"/>
      <c r="H127" s="14"/>
      <c r="I127" s="14"/>
      <c r="J127" s="14"/>
      <c r="K127" s="15"/>
      <c r="L127" s="9"/>
      <c r="M127" s="9"/>
    </row>
    <row r="128" spans="1:13" ht="12.75">
      <c r="A128" s="185"/>
      <c r="B128" s="14"/>
      <c r="C128" s="14"/>
      <c r="D128" s="14"/>
      <c r="E128" s="14"/>
      <c r="F128" s="14"/>
      <c r="G128" s="14"/>
      <c r="H128" s="14"/>
      <c r="I128" s="14"/>
      <c r="J128" s="14"/>
      <c r="K128" s="15"/>
      <c r="L128" s="9"/>
      <c r="M128" s="9"/>
    </row>
    <row r="129" spans="1:13" ht="12.75">
      <c r="A129" s="185"/>
      <c r="B129" s="14"/>
      <c r="C129" s="14"/>
      <c r="D129" s="14"/>
      <c r="E129" s="14"/>
      <c r="F129" s="14"/>
      <c r="G129" s="14"/>
      <c r="H129" s="14"/>
      <c r="I129" s="14"/>
      <c r="J129" s="14"/>
      <c r="K129" s="15"/>
      <c r="L129" s="9"/>
      <c r="M129" s="9"/>
    </row>
    <row r="130" spans="1:13" ht="12.75">
      <c r="A130" s="185"/>
      <c r="B130" s="14"/>
      <c r="C130" s="14"/>
      <c r="D130" s="14"/>
      <c r="E130" s="14"/>
      <c r="F130" s="14"/>
      <c r="G130" s="14"/>
      <c r="H130" s="14"/>
      <c r="I130" s="14"/>
      <c r="J130" s="14"/>
      <c r="K130" s="15"/>
      <c r="L130" s="9"/>
      <c r="M130" s="9"/>
    </row>
    <row r="131" spans="1:13" ht="12.75">
      <c r="A131" s="185"/>
      <c r="B131" s="14"/>
      <c r="C131" s="14"/>
      <c r="D131" s="14"/>
      <c r="E131" s="14"/>
      <c r="F131" s="14"/>
      <c r="G131" s="14"/>
      <c r="H131" s="14"/>
      <c r="I131" s="14"/>
      <c r="J131" s="14"/>
      <c r="K131" s="15"/>
      <c r="L131" s="9"/>
      <c r="M131" s="9"/>
    </row>
    <row r="132" spans="1:13" ht="12.75">
      <c r="A132" s="185"/>
      <c r="B132" s="14"/>
      <c r="C132" s="14"/>
      <c r="D132" s="14"/>
      <c r="E132" s="14"/>
      <c r="F132" s="14"/>
      <c r="G132" s="14"/>
      <c r="H132" s="14"/>
      <c r="I132" s="14"/>
      <c r="J132" s="14"/>
      <c r="K132" s="15"/>
      <c r="L132" s="9"/>
      <c r="M132" s="9"/>
    </row>
    <row r="133" spans="1:13" ht="12.75">
      <c r="A133" s="185"/>
      <c r="B133" s="14"/>
      <c r="C133" s="14"/>
      <c r="D133" s="14"/>
      <c r="E133" s="14"/>
      <c r="F133" s="14"/>
      <c r="G133" s="14"/>
      <c r="H133" s="14"/>
      <c r="I133" s="14"/>
      <c r="J133" s="14"/>
      <c r="K133" s="15"/>
      <c r="L133" s="9"/>
      <c r="M133" s="9"/>
    </row>
    <row r="134" spans="1:13" ht="12.75">
      <c r="A134" s="185"/>
      <c r="B134" s="14"/>
      <c r="C134" s="14"/>
      <c r="D134" s="14"/>
      <c r="E134" s="14"/>
      <c r="F134" s="14"/>
      <c r="G134" s="14"/>
      <c r="H134" s="14"/>
      <c r="I134" s="14"/>
      <c r="J134" s="14"/>
      <c r="K134" s="15"/>
      <c r="L134" s="9"/>
      <c r="M134" s="9"/>
    </row>
    <row r="135" spans="1:13" ht="12.75">
      <c r="A135" s="185"/>
      <c r="B135" s="14"/>
      <c r="C135" s="14"/>
      <c r="D135" s="14"/>
      <c r="E135" s="14"/>
      <c r="F135" s="14"/>
      <c r="G135" s="14"/>
      <c r="H135" s="14"/>
      <c r="I135" s="14"/>
      <c r="J135" s="14"/>
      <c r="K135" s="15"/>
      <c r="L135" s="9"/>
      <c r="M135" s="9"/>
    </row>
    <row r="136" spans="1:13" ht="12.75">
      <c r="A136" s="185"/>
      <c r="B136" s="14"/>
      <c r="C136" s="14"/>
      <c r="D136" s="14"/>
      <c r="E136" s="14"/>
      <c r="F136" s="14"/>
      <c r="G136" s="14"/>
      <c r="H136" s="14"/>
      <c r="I136" s="14"/>
      <c r="J136" s="14"/>
      <c r="K136" s="15"/>
      <c r="L136" s="9"/>
      <c r="M136" s="9"/>
    </row>
    <row r="137" spans="1:13" ht="21.75" customHeight="1">
      <c r="A137" s="202" t="s">
        <v>176</v>
      </c>
      <c r="B137" s="26"/>
      <c r="C137" s="26"/>
      <c r="D137" s="26"/>
      <c r="E137" s="189"/>
      <c r="F137" s="30"/>
      <c r="G137" s="30"/>
      <c r="H137" s="30"/>
      <c r="I137" s="30"/>
      <c r="J137" s="31"/>
      <c r="K137" s="661" t="s">
        <v>171</v>
      </c>
      <c r="L137" s="9"/>
      <c r="M137" s="9"/>
    </row>
    <row r="138" spans="1:13" ht="12.75">
      <c r="A138" s="203" t="s">
        <v>174</v>
      </c>
      <c r="B138" s="24"/>
      <c r="C138" s="24"/>
      <c r="D138" s="24"/>
      <c r="E138" s="645" t="s">
        <v>286</v>
      </c>
      <c r="F138" s="646"/>
      <c r="G138" s="646"/>
      <c r="H138" s="646"/>
      <c r="I138" s="646"/>
      <c r="J138" s="319"/>
      <c r="K138" s="662"/>
      <c r="L138" s="9"/>
      <c r="M138" s="9"/>
    </row>
    <row r="139" spans="1:13" ht="12.75">
      <c r="A139" s="203" t="s">
        <v>451</v>
      </c>
      <c r="B139" s="24"/>
      <c r="C139" s="24"/>
      <c r="D139" s="24"/>
      <c r="E139" s="35"/>
      <c r="F139" s="24"/>
      <c r="G139" s="24"/>
      <c r="H139" s="24"/>
      <c r="I139" s="24"/>
      <c r="J139" s="25"/>
      <c r="K139" s="662"/>
      <c r="L139" s="9"/>
      <c r="M139" s="9"/>
    </row>
    <row r="140" spans="1:13" ht="12.75">
      <c r="A140" s="203" t="s">
        <v>175</v>
      </c>
      <c r="B140" s="24"/>
      <c r="C140" s="24"/>
      <c r="D140" s="24"/>
      <c r="E140" s="36"/>
      <c r="F140" s="34" t="s">
        <v>165</v>
      </c>
      <c r="G140" s="634" t="str">
        <f>'Proc datos brutos'!L17</f>
        <v>Francis Holway</v>
      </c>
      <c r="H140" s="634"/>
      <c r="I140" s="634"/>
      <c r="J140" s="635"/>
      <c r="K140" s="662"/>
      <c r="L140" s="9"/>
      <c r="M140" s="9"/>
    </row>
    <row r="141" spans="1:13" ht="21.75" customHeight="1">
      <c r="A141" s="204" t="s">
        <v>172</v>
      </c>
      <c r="B141" s="194"/>
      <c r="C141" s="194"/>
      <c r="D141" s="194"/>
      <c r="E141" s="196"/>
      <c r="F141" s="194"/>
      <c r="G141" s="194"/>
      <c r="H141" s="194"/>
      <c r="I141" s="194"/>
      <c r="J141" s="195"/>
      <c r="K141" s="663"/>
      <c r="L141" s="9"/>
      <c r="M141" s="9"/>
    </row>
    <row r="142" spans="1:13" ht="78.75" customHeight="1">
      <c r="A142" s="560" t="s">
        <v>269</v>
      </c>
      <c r="B142" s="561"/>
      <c r="C142" s="561"/>
      <c r="D142" s="561"/>
      <c r="E142" s="561"/>
      <c r="F142" s="561"/>
      <c r="G142" s="561"/>
      <c r="H142" s="562"/>
      <c r="I142" s="553" t="s">
        <v>427</v>
      </c>
      <c r="J142" s="553"/>
      <c r="K142" s="553"/>
      <c r="L142" s="9"/>
      <c r="M142" s="9"/>
    </row>
    <row r="143" spans="1:13" ht="12.75">
      <c r="A143" s="188"/>
      <c r="B143" s="30"/>
      <c r="C143" s="30"/>
      <c r="D143" s="30"/>
      <c r="E143" s="30"/>
      <c r="F143" s="30"/>
      <c r="G143" s="30"/>
      <c r="H143" s="30"/>
      <c r="I143" s="30"/>
      <c r="J143" s="30"/>
      <c r="K143" s="31"/>
      <c r="L143" s="9"/>
      <c r="M143" s="9"/>
    </row>
    <row r="144" spans="1:13" ht="15.75">
      <c r="A144" s="185"/>
      <c r="B144" s="14"/>
      <c r="C144" s="12" t="s">
        <v>35</v>
      </c>
      <c r="D144" s="554">
        <f>'Proc datos brutos'!B2</f>
        <v>0</v>
      </c>
      <c r="E144" s="554"/>
      <c r="F144" s="554"/>
      <c r="G144" s="555"/>
      <c r="H144" s="12" t="s">
        <v>40</v>
      </c>
      <c r="I144" s="186">
        <f>'Proc datos brutos'!I3</f>
        <v>0</v>
      </c>
      <c r="J144" s="14"/>
      <c r="K144" s="15"/>
      <c r="L144" s="9"/>
      <c r="M144" s="9"/>
    </row>
    <row r="145" spans="1:13" ht="12.75">
      <c r="A145" s="185"/>
      <c r="B145" s="14"/>
      <c r="C145" s="14"/>
      <c r="D145" s="14"/>
      <c r="E145" s="14"/>
      <c r="F145" s="14"/>
      <c r="G145" s="14"/>
      <c r="H145" s="14"/>
      <c r="I145" s="14"/>
      <c r="J145" s="14"/>
      <c r="K145" s="15"/>
      <c r="L145" s="9"/>
      <c r="M145" s="9"/>
    </row>
    <row r="146" spans="1:13" ht="15">
      <c r="A146" s="185"/>
      <c r="B146" s="14"/>
      <c r="C146" s="556" t="s">
        <v>167</v>
      </c>
      <c r="D146" s="557"/>
      <c r="E146" s="187">
        <f>'Proc datos brutos'!I1</f>
        <v>0</v>
      </c>
      <c r="F146" s="556" t="s">
        <v>420</v>
      </c>
      <c r="G146" s="557"/>
      <c r="H146" s="558">
        <f>'Proc datos brutos'!B3</f>
        <v>0</v>
      </c>
      <c r="I146" s="559"/>
      <c r="J146" s="14"/>
      <c r="K146" s="15"/>
      <c r="L146" s="9"/>
      <c r="M146" s="9"/>
    </row>
    <row r="147" spans="1:13" ht="15">
      <c r="A147" s="185"/>
      <c r="B147" s="14"/>
      <c r="C147" s="191"/>
      <c r="D147" s="191"/>
      <c r="E147" s="192"/>
      <c r="F147" s="191"/>
      <c r="G147" s="191"/>
      <c r="H147" s="193"/>
      <c r="I147" s="193"/>
      <c r="J147" s="32"/>
      <c r="K147" s="33"/>
      <c r="L147" s="9"/>
      <c r="M147" s="9"/>
    </row>
    <row r="148" spans="1:13" ht="0.75" customHeight="1">
      <c r="A148" s="248" t="s">
        <v>245</v>
      </c>
      <c r="B148" s="249" t="e">
        <f>IF('Proc datos brutos'!I2=1,((Presentación!E11/100)^2)*23,((Presentación!E11/100)^2)*21.5)</f>
        <v>#NUM!</v>
      </c>
      <c r="C148" s="30"/>
      <c r="D148" s="250"/>
      <c r="E148" s="250"/>
      <c r="F148" s="250"/>
      <c r="G148" s="250"/>
      <c r="H148" s="250"/>
      <c r="I148" s="251"/>
      <c r="J148" s="599" t="s">
        <v>315</v>
      </c>
      <c r="K148" s="600"/>
      <c r="L148" s="9"/>
      <c r="M148" s="9"/>
    </row>
    <row r="149" spans="1:13" ht="0.75" customHeight="1">
      <c r="A149" s="252" t="s">
        <v>246</v>
      </c>
      <c r="B149" s="253"/>
      <c r="C149" s="254" t="s">
        <v>247</v>
      </c>
      <c r="D149" s="255" t="e">
        <f>E10-B148</f>
        <v>#NUM!</v>
      </c>
      <c r="E149" s="594" t="s">
        <v>248</v>
      </c>
      <c r="F149" s="594"/>
      <c r="G149" s="588" t="e">
        <f>D149*0.25</f>
        <v>#NUM!</v>
      </c>
      <c r="H149" s="588"/>
      <c r="I149" s="256"/>
      <c r="J149" s="601"/>
      <c r="K149" s="602"/>
      <c r="L149" s="9"/>
      <c r="M149" s="9"/>
    </row>
    <row r="150" spans="1:13" ht="0.75" customHeight="1">
      <c r="A150" s="257" t="s">
        <v>249</v>
      </c>
      <c r="B150" s="258"/>
      <c r="C150" s="258"/>
      <c r="D150" s="259"/>
      <c r="E150" s="258"/>
      <c r="F150" s="260" t="e">
        <f>B148+G149</f>
        <v>#NUM!</v>
      </c>
      <c r="G150" s="261"/>
      <c r="H150" s="261"/>
      <c r="I150" s="262"/>
      <c r="J150" s="601"/>
      <c r="K150" s="602"/>
      <c r="L150" s="9"/>
      <c r="M150" s="9"/>
    </row>
    <row r="151" spans="1:13" ht="29.25" customHeight="1">
      <c r="A151" s="263" t="s">
        <v>250</v>
      </c>
      <c r="B151" s="264"/>
      <c r="C151" s="265"/>
      <c r="D151" s="265"/>
      <c r="E151" s="265"/>
      <c r="F151" s="266" t="e">
        <f>IF('Proc datos brutos'!I2=1,66+(13.7*Presentación!G151)+(5*Presentación!E11)-(6.8*Presentación!I144),655+(9.6*Presentación!G151)+(1.7*Presentación!E11)-(4.7*Presentación!I144))</f>
        <v>#NUM!</v>
      </c>
      <c r="G151" s="267" t="e">
        <f>IF(E10&lt;B148,E10,F150)</f>
        <v>#NUM!</v>
      </c>
      <c r="H151" s="268"/>
      <c r="I151" s="269"/>
      <c r="J151" s="603"/>
      <c r="K151" s="604"/>
      <c r="L151" s="9"/>
      <c r="M151" s="9"/>
    </row>
    <row r="152" spans="1:13" ht="25.5" customHeight="1">
      <c r="A152" s="270" t="s">
        <v>265</v>
      </c>
      <c r="B152" s="14"/>
      <c r="C152" s="271"/>
      <c r="D152" s="609" t="e">
        <f>VLOOKUP('Proc datos brutos'!F1,AF,2)</f>
        <v>#N/A</v>
      </c>
      <c r="E152" s="609"/>
      <c r="F152" s="272" t="s">
        <v>264</v>
      </c>
      <c r="G152" s="273" t="e">
        <f>VLOOKUP('Proc datos brutos'!F1,AF,Presentación!H152)</f>
        <v>#N/A</v>
      </c>
      <c r="H152" s="254">
        <f>IF('Proc datos brutos'!I2=1,4,3)</f>
        <v>3</v>
      </c>
      <c r="I152" s="15"/>
      <c r="J152" s="595" t="s">
        <v>295</v>
      </c>
      <c r="K152" s="596"/>
      <c r="L152" s="9"/>
      <c r="M152" s="9"/>
    </row>
    <row r="153" spans="1:13" ht="25.5" customHeight="1">
      <c r="A153" s="274" t="s">
        <v>251</v>
      </c>
      <c r="B153" s="275"/>
      <c r="C153" s="276"/>
      <c r="D153" s="277" t="e">
        <f>F151*G152</f>
        <v>#NUM!</v>
      </c>
      <c r="E153" s="276" t="s">
        <v>252</v>
      </c>
      <c r="F153" s="275"/>
      <c r="G153" s="276"/>
      <c r="H153" s="592" t="s">
        <v>322</v>
      </c>
      <c r="I153" s="593"/>
      <c r="J153" s="597"/>
      <c r="K153" s="598"/>
      <c r="L153" s="9"/>
      <c r="M153" s="9"/>
    </row>
    <row r="154" spans="1:13" ht="31.5" customHeight="1">
      <c r="A154" s="278" t="s">
        <v>279</v>
      </c>
      <c r="B154" s="279"/>
      <c r="C154" s="279"/>
      <c r="D154" s="279"/>
      <c r="E154" s="279"/>
      <c r="F154" s="280" t="e">
        <f>IF('Proc datos brutos'!I2=1,((Presentación!E11/100)^2)*23,((Presentación!E11/100)^2)*21.5)</f>
        <v>#NUM!</v>
      </c>
      <c r="G154" s="280" t="s">
        <v>309</v>
      </c>
      <c r="H154" s="356" t="e">
        <f>F154-F154*10%</f>
        <v>#NUM!</v>
      </c>
      <c r="I154" s="357" t="e">
        <f>F154+F154*10%</f>
        <v>#NUM!</v>
      </c>
      <c r="J154" s="610" t="s">
        <v>292</v>
      </c>
      <c r="K154" s="611"/>
      <c r="L154" s="9"/>
      <c r="M154" s="9"/>
    </row>
    <row r="155" spans="1:13" ht="12.75">
      <c r="A155" s="674" t="s">
        <v>180</v>
      </c>
      <c r="B155" s="30"/>
      <c r="C155" s="30"/>
      <c r="D155" s="30"/>
      <c r="E155" s="30"/>
      <c r="F155" s="30"/>
      <c r="G155" s="30"/>
      <c r="H155" s="30"/>
      <c r="I155" s="30"/>
      <c r="J155" s="30"/>
      <c r="K155" s="31"/>
      <c r="L155" s="9"/>
      <c r="M155" s="9"/>
    </row>
    <row r="156" spans="1:13" ht="12.75">
      <c r="A156" s="675"/>
      <c r="B156" s="613" t="s">
        <v>321</v>
      </c>
      <c r="C156" s="613"/>
      <c r="D156" s="613"/>
      <c r="E156" s="613"/>
      <c r="F156" s="613"/>
      <c r="G156" s="613"/>
      <c r="H156" s="613"/>
      <c r="I156" s="613"/>
      <c r="J156" s="613"/>
      <c r="K156" s="614"/>
      <c r="L156" s="9"/>
      <c r="M156" s="9"/>
    </row>
    <row r="157" spans="1:13" ht="12.75">
      <c r="A157" s="675"/>
      <c r="B157" s="613"/>
      <c r="C157" s="613"/>
      <c r="D157" s="613"/>
      <c r="E157" s="613"/>
      <c r="F157" s="613"/>
      <c r="G157" s="613"/>
      <c r="H157" s="613"/>
      <c r="I157" s="613"/>
      <c r="J157" s="613"/>
      <c r="K157" s="614"/>
      <c r="L157" s="9"/>
      <c r="M157" s="9"/>
    </row>
    <row r="158" spans="1:13" ht="12.75">
      <c r="A158" s="675"/>
      <c r="B158" s="613"/>
      <c r="C158" s="613"/>
      <c r="D158" s="613"/>
      <c r="E158" s="613"/>
      <c r="F158" s="613"/>
      <c r="G158" s="613"/>
      <c r="H158" s="613"/>
      <c r="I158" s="613"/>
      <c r="J158" s="613"/>
      <c r="K158" s="614"/>
      <c r="L158" s="9"/>
      <c r="M158" s="9"/>
    </row>
    <row r="159" spans="1:13" ht="12.75">
      <c r="A159" s="675"/>
      <c r="B159" s="18"/>
      <c r="C159" s="18"/>
      <c r="D159" s="18"/>
      <c r="E159" s="18"/>
      <c r="F159" s="18"/>
      <c r="G159" s="18"/>
      <c r="H159" s="18"/>
      <c r="I159" s="18"/>
      <c r="J159" s="18"/>
      <c r="K159" s="190"/>
      <c r="L159" s="9"/>
      <c r="M159" s="9"/>
    </row>
    <row r="160" spans="1:13" ht="12.75">
      <c r="A160" s="675"/>
      <c r="B160" s="18"/>
      <c r="C160" s="18"/>
      <c r="D160" s="579" t="s">
        <v>181</v>
      </c>
      <c r="E160" s="680"/>
      <c r="F160" s="680"/>
      <c r="G160" s="680"/>
      <c r="H160" s="680"/>
      <c r="I160" s="680"/>
      <c r="J160" s="680"/>
      <c r="K160" s="580"/>
      <c r="L160" s="9"/>
      <c r="M160" s="9"/>
    </row>
    <row r="161" spans="1:13" ht="12.75">
      <c r="A161" s="675"/>
      <c r="B161" s="18"/>
      <c r="C161" s="228" t="s">
        <v>182</v>
      </c>
      <c r="D161" s="579" t="s">
        <v>183</v>
      </c>
      <c r="E161" s="581"/>
      <c r="F161" s="579" t="s">
        <v>184</v>
      </c>
      <c r="G161" s="581"/>
      <c r="H161" s="579" t="s">
        <v>185</v>
      </c>
      <c r="I161" s="581"/>
      <c r="J161" s="579" t="s">
        <v>186</v>
      </c>
      <c r="K161" s="580"/>
      <c r="L161" s="9"/>
      <c r="M161" s="9"/>
    </row>
    <row r="162" spans="1:13" ht="12.75">
      <c r="A162" s="675"/>
      <c r="B162" s="681" t="s">
        <v>187</v>
      </c>
      <c r="C162" s="225" t="s">
        <v>188</v>
      </c>
      <c r="D162" s="590" t="s">
        <v>214</v>
      </c>
      <c r="E162" s="591"/>
      <c r="F162" s="590" t="s">
        <v>194</v>
      </c>
      <c r="G162" s="591"/>
      <c r="H162" s="590" t="s">
        <v>204</v>
      </c>
      <c r="I162" s="591"/>
      <c r="J162" s="590" t="s">
        <v>224</v>
      </c>
      <c r="K162" s="612"/>
      <c r="L162" s="9"/>
      <c r="M162" s="9"/>
    </row>
    <row r="163" spans="1:13" ht="12.75">
      <c r="A163" s="675"/>
      <c r="B163" s="682"/>
      <c r="C163" s="226" t="s">
        <v>189</v>
      </c>
      <c r="D163" s="582" t="s">
        <v>215</v>
      </c>
      <c r="E163" s="583"/>
      <c r="F163" s="582" t="s">
        <v>195</v>
      </c>
      <c r="G163" s="583"/>
      <c r="H163" s="582" t="s">
        <v>205</v>
      </c>
      <c r="I163" s="583"/>
      <c r="J163" s="582" t="s">
        <v>225</v>
      </c>
      <c r="K163" s="589"/>
      <c r="L163" s="9"/>
      <c r="M163" s="9"/>
    </row>
    <row r="164" spans="1:13" ht="12.75">
      <c r="A164" s="675"/>
      <c r="B164" s="682"/>
      <c r="C164" s="226" t="s">
        <v>190</v>
      </c>
      <c r="D164" s="582" t="s">
        <v>216</v>
      </c>
      <c r="E164" s="583"/>
      <c r="F164" s="582" t="s">
        <v>196</v>
      </c>
      <c r="G164" s="583"/>
      <c r="H164" s="582" t="s">
        <v>206</v>
      </c>
      <c r="I164" s="583"/>
      <c r="J164" s="582" t="s">
        <v>226</v>
      </c>
      <c r="K164" s="589"/>
      <c r="L164" s="9"/>
      <c r="M164" s="9"/>
    </row>
    <row r="165" spans="1:13" ht="12.75">
      <c r="A165" s="675"/>
      <c r="B165" s="682"/>
      <c r="C165" s="226" t="s">
        <v>191</v>
      </c>
      <c r="D165" s="582" t="s">
        <v>217</v>
      </c>
      <c r="E165" s="583"/>
      <c r="F165" s="582" t="s">
        <v>197</v>
      </c>
      <c r="G165" s="583"/>
      <c r="H165" s="582" t="s">
        <v>207</v>
      </c>
      <c r="I165" s="583"/>
      <c r="J165" s="582" t="s">
        <v>227</v>
      </c>
      <c r="K165" s="589"/>
      <c r="L165" s="9"/>
      <c r="M165" s="9"/>
    </row>
    <row r="166" spans="1:13" ht="12.75">
      <c r="A166" s="675"/>
      <c r="B166" s="683"/>
      <c r="C166" s="227" t="s">
        <v>192</v>
      </c>
      <c r="D166" s="606" t="s">
        <v>218</v>
      </c>
      <c r="E166" s="607"/>
      <c r="F166" s="606" t="s">
        <v>198</v>
      </c>
      <c r="G166" s="607"/>
      <c r="H166" s="606" t="s">
        <v>208</v>
      </c>
      <c r="I166" s="607"/>
      <c r="J166" s="606" t="s">
        <v>228</v>
      </c>
      <c r="K166" s="608"/>
      <c r="L166" s="9"/>
      <c r="M166" s="9"/>
    </row>
    <row r="167" spans="1:13" ht="12.75">
      <c r="A167" s="675"/>
      <c r="B167" s="681" t="s">
        <v>193</v>
      </c>
      <c r="C167" s="225" t="s">
        <v>188</v>
      </c>
      <c r="D167" s="590" t="s">
        <v>219</v>
      </c>
      <c r="E167" s="591"/>
      <c r="F167" s="590" t="s">
        <v>199</v>
      </c>
      <c r="G167" s="591"/>
      <c r="H167" s="590" t="s">
        <v>209</v>
      </c>
      <c r="I167" s="591"/>
      <c r="J167" s="590" t="s">
        <v>229</v>
      </c>
      <c r="K167" s="612"/>
      <c r="L167" s="9"/>
      <c r="M167" s="9"/>
    </row>
    <row r="168" spans="1:13" ht="12.75">
      <c r="A168" s="675"/>
      <c r="B168" s="682"/>
      <c r="C168" s="226" t="s">
        <v>189</v>
      </c>
      <c r="D168" s="582" t="s">
        <v>220</v>
      </c>
      <c r="E168" s="583"/>
      <c r="F168" s="582" t="s">
        <v>200</v>
      </c>
      <c r="G168" s="583"/>
      <c r="H168" s="582" t="s">
        <v>210</v>
      </c>
      <c r="I168" s="583"/>
      <c r="J168" s="582" t="s">
        <v>230</v>
      </c>
      <c r="K168" s="589"/>
      <c r="L168" s="9"/>
      <c r="M168" s="9"/>
    </row>
    <row r="169" spans="1:13" ht="12.75">
      <c r="A169" s="675"/>
      <c r="B169" s="682"/>
      <c r="C169" s="226" t="s">
        <v>190</v>
      </c>
      <c r="D169" s="582" t="s">
        <v>221</v>
      </c>
      <c r="E169" s="583"/>
      <c r="F169" s="582" t="s">
        <v>201</v>
      </c>
      <c r="G169" s="583"/>
      <c r="H169" s="582" t="s">
        <v>211</v>
      </c>
      <c r="I169" s="583"/>
      <c r="J169" s="582" t="s">
        <v>231</v>
      </c>
      <c r="K169" s="589"/>
      <c r="L169" s="9"/>
      <c r="M169" s="9"/>
    </row>
    <row r="170" spans="1:13" ht="12.75">
      <c r="A170" s="675"/>
      <c r="B170" s="682"/>
      <c r="C170" s="226" t="s">
        <v>191</v>
      </c>
      <c r="D170" s="582" t="s">
        <v>222</v>
      </c>
      <c r="E170" s="583"/>
      <c r="F170" s="582" t="s">
        <v>202</v>
      </c>
      <c r="G170" s="583"/>
      <c r="H170" s="582" t="s">
        <v>212</v>
      </c>
      <c r="I170" s="583"/>
      <c r="J170" s="582" t="s">
        <v>232</v>
      </c>
      <c r="K170" s="589"/>
      <c r="L170" s="9"/>
      <c r="M170" s="9"/>
    </row>
    <row r="171" spans="1:13" ht="12.75">
      <c r="A171" s="675"/>
      <c r="B171" s="683"/>
      <c r="C171" s="227" t="s">
        <v>192</v>
      </c>
      <c r="D171" s="606" t="s">
        <v>223</v>
      </c>
      <c r="E171" s="607"/>
      <c r="F171" s="606" t="s">
        <v>203</v>
      </c>
      <c r="G171" s="607"/>
      <c r="H171" s="606" t="s">
        <v>213</v>
      </c>
      <c r="I171" s="607"/>
      <c r="J171" s="606" t="s">
        <v>233</v>
      </c>
      <c r="K171" s="608"/>
      <c r="L171" s="9"/>
      <c r="M171" s="9"/>
    </row>
    <row r="172" spans="1:13" ht="12.75">
      <c r="A172" s="675"/>
      <c r="B172" s="14"/>
      <c r="C172" s="14"/>
      <c r="D172" s="14"/>
      <c r="E172" s="14"/>
      <c r="F172" s="14"/>
      <c r="G172" s="14"/>
      <c r="H172" s="14"/>
      <c r="I172" s="14"/>
      <c r="J172" s="14"/>
      <c r="K172" s="15"/>
      <c r="L172" s="9"/>
      <c r="M172" s="9"/>
    </row>
    <row r="173" spans="1:13" ht="25.5" customHeight="1">
      <c r="A173" s="676"/>
      <c r="B173" s="229"/>
      <c r="C173" s="230" t="s">
        <v>169</v>
      </c>
      <c r="D173" s="605" t="e">
        <f>E26/E27</f>
        <v>#NUM!</v>
      </c>
      <c r="E173" s="605"/>
      <c r="F173" s="281"/>
      <c r="G173" s="281"/>
      <c r="H173" s="281"/>
      <c r="I173" s="281"/>
      <c r="J173" s="281"/>
      <c r="K173" s="282">
        <f>'Proc datos brutos'!I2</f>
        <v>0</v>
      </c>
      <c r="L173" s="9"/>
      <c r="M173" s="9"/>
    </row>
    <row r="174" spans="1:13" ht="12.75">
      <c r="A174" s="584" t="s">
        <v>310</v>
      </c>
      <c r="B174" s="309"/>
      <c r="C174" s="300"/>
      <c r="D174" s="300"/>
      <c r="E174" s="300"/>
      <c r="F174" s="300"/>
      <c r="G174" s="300"/>
      <c r="H174" s="300"/>
      <c r="I174" s="300"/>
      <c r="J174" s="300"/>
      <c r="K174" s="301"/>
      <c r="L174" s="9"/>
      <c r="M174" s="9"/>
    </row>
    <row r="175" spans="1:13" ht="12.75">
      <c r="A175" s="585"/>
      <c r="B175" s="185"/>
      <c r="C175" s="303"/>
      <c r="D175" s="14"/>
      <c r="E175" s="303" t="s">
        <v>168</v>
      </c>
      <c r="F175" s="538" t="e">
        <f>SUM(E32:E37)</f>
        <v>#NUM!</v>
      </c>
      <c r="G175" s="538"/>
      <c r="H175" s="303"/>
      <c r="I175" s="302"/>
      <c r="J175" s="302"/>
      <c r="K175" s="306"/>
      <c r="L175" s="9"/>
      <c r="M175" s="9"/>
    </row>
    <row r="176" spans="1:13" ht="12.75">
      <c r="A176" s="585"/>
      <c r="B176" s="311"/>
      <c r="C176" s="312"/>
      <c r="D176" s="312"/>
      <c r="E176" s="312"/>
      <c r="F176" s="312"/>
      <c r="G176" s="425"/>
      <c r="H176" s="312"/>
      <c r="I176" s="312"/>
      <c r="J176" s="312"/>
      <c r="K176" s="313"/>
      <c r="L176" s="9"/>
      <c r="M176" s="9"/>
    </row>
    <row r="177" spans="1:13" ht="12.75">
      <c r="A177" s="585"/>
      <c r="B177" s="305"/>
      <c r="C177" s="305"/>
      <c r="D177" s="305"/>
      <c r="E177" s="305"/>
      <c r="F177" s="305"/>
      <c r="G177" s="14"/>
      <c r="H177" s="305"/>
      <c r="I177" s="305"/>
      <c r="J177" s="305"/>
      <c r="K177" s="306"/>
      <c r="L177" s="9"/>
      <c r="M177" s="9"/>
    </row>
    <row r="178" spans="1:13" ht="12.75">
      <c r="A178" s="585"/>
      <c r="B178" s="14"/>
      <c r="C178" s="303" t="s">
        <v>298</v>
      </c>
      <c r="D178" s="538" t="e">
        <f>'Proc datos brutos'!B62/'Proc datos brutos'!B78</f>
        <v>#NUM!</v>
      </c>
      <c r="E178" s="538"/>
      <c r="F178" s="451" t="s">
        <v>417</v>
      </c>
      <c r="H178" s="426"/>
      <c r="I178" s="538" t="e">
        <f>'Proc datos brutos'!B52/'Proc datos brutos'!B62</f>
        <v>#NUM!</v>
      </c>
      <c r="J178" s="538"/>
      <c r="K178" s="427"/>
      <c r="L178" s="9"/>
      <c r="M178" s="9"/>
    </row>
    <row r="179" spans="1:13" ht="12.75">
      <c r="A179" s="585"/>
      <c r="B179" s="311"/>
      <c r="C179" s="312"/>
      <c r="D179" s="312"/>
      <c r="E179" s="314"/>
      <c r="F179" s="315"/>
      <c r="G179" s="425"/>
      <c r="H179" s="314"/>
      <c r="I179" s="312"/>
      <c r="J179" s="312"/>
      <c r="K179" s="313"/>
      <c r="L179" s="9"/>
      <c r="M179" s="9"/>
    </row>
    <row r="180" spans="1:13" ht="12.75">
      <c r="A180" s="585"/>
      <c r="B180" s="428"/>
      <c r="C180" s="305"/>
      <c r="D180" s="305"/>
      <c r="E180" s="429"/>
      <c r="F180" s="429"/>
      <c r="G180" s="14"/>
      <c r="H180" s="429"/>
      <c r="I180" s="305"/>
      <c r="J180" s="305"/>
      <c r="K180" s="306"/>
      <c r="L180" s="9"/>
      <c r="M180" s="9"/>
    </row>
    <row r="181" spans="1:13" ht="15">
      <c r="A181" s="585"/>
      <c r="B181" s="185"/>
      <c r="C181" s="303"/>
      <c r="D181" s="303"/>
      <c r="E181" s="303" t="s">
        <v>299</v>
      </c>
      <c r="F181" s="538" t="e">
        <f>E10/((E11/100)^2)</f>
        <v>#NUM!</v>
      </c>
      <c r="G181" s="538"/>
      <c r="H181" s="302" t="s">
        <v>311</v>
      </c>
      <c r="I181" s="426"/>
      <c r="J181" s="426"/>
      <c r="K181" s="306"/>
      <c r="L181" s="9"/>
      <c r="M181" s="9"/>
    </row>
    <row r="182" spans="1:13" ht="12.75">
      <c r="A182" s="585"/>
      <c r="B182" s="311"/>
      <c r="C182" s="312"/>
      <c r="D182" s="312"/>
      <c r="E182" s="312"/>
      <c r="F182" s="314"/>
      <c r="G182" s="314"/>
      <c r="H182" s="314"/>
      <c r="I182" s="312"/>
      <c r="J182" s="312"/>
      <c r="K182" s="313"/>
      <c r="L182" s="9"/>
      <c r="M182" s="9"/>
    </row>
    <row r="183" spans="1:13" ht="12.75">
      <c r="A183" s="585"/>
      <c r="B183" s="305"/>
      <c r="C183" s="305"/>
      <c r="D183" s="305"/>
      <c r="E183" s="305"/>
      <c r="F183" s="429"/>
      <c r="G183" s="429"/>
      <c r="H183" s="429"/>
      <c r="I183" s="305"/>
      <c r="J183" s="305"/>
      <c r="K183" s="306"/>
      <c r="L183" s="9"/>
      <c r="M183" s="9"/>
    </row>
    <row r="184" spans="1:13" ht="12.75">
      <c r="A184" s="585"/>
      <c r="B184" s="14"/>
      <c r="C184" s="303" t="s">
        <v>312</v>
      </c>
      <c r="D184" s="320" t="e">
        <f>E12/E11</f>
        <v>#NUM!</v>
      </c>
      <c r="E184" s="304"/>
      <c r="F184" s="303"/>
      <c r="G184" s="538"/>
      <c r="H184" s="538"/>
      <c r="I184" s="14"/>
      <c r="J184" s="302"/>
      <c r="K184" s="427"/>
      <c r="L184" s="9"/>
      <c r="M184" s="9"/>
    </row>
    <row r="185" spans="1:13" ht="12.75">
      <c r="A185" s="585"/>
      <c r="B185" s="311"/>
      <c r="C185" s="312"/>
      <c r="D185" s="312"/>
      <c r="E185" s="312"/>
      <c r="F185" s="312"/>
      <c r="G185" s="312"/>
      <c r="H185" s="312"/>
      <c r="I185" s="312"/>
      <c r="J185" s="312"/>
      <c r="K185" s="313"/>
      <c r="L185" s="9"/>
      <c r="M185" s="9"/>
    </row>
    <row r="186" spans="1:13" ht="12.75">
      <c r="A186" s="585"/>
      <c r="B186" s="430"/>
      <c r="C186" s="426"/>
      <c r="D186" s="426"/>
      <c r="E186" s="426"/>
      <c r="F186" s="426"/>
      <c r="G186" s="426"/>
      <c r="H186" s="426"/>
      <c r="I186" s="426"/>
      <c r="J186" s="426"/>
      <c r="K186" s="427"/>
      <c r="L186" s="9"/>
      <c r="M186" s="9"/>
    </row>
    <row r="187" spans="1:13" ht="15">
      <c r="A187" s="585"/>
      <c r="B187" s="185"/>
      <c r="C187" s="303"/>
      <c r="D187" s="303"/>
      <c r="E187" s="303" t="s">
        <v>234</v>
      </c>
      <c r="F187" s="538" t="e">
        <f>(E10^0.425)*(E11^0.725)*0.007189</f>
        <v>#NUM!</v>
      </c>
      <c r="G187" s="538"/>
      <c r="H187" s="302" t="s">
        <v>314</v>
      </c>
      <c r="I187" s="426"/>
      <c r="J187" s="426"/>
      <c r="K187" s="427"/>
      <c r="L187" s="9"/>
      <c r="M187" s="9"/>
    </row>
    <row r="188" spans="1:13" ht="12.75">
      <c r="A188" s="585"/>
      <c r="B188" s="431"/>
      <c r="C188" s="432"/>
      <c r="D188" s="432"/>
      <c r="E188" s="432"/>
      <c r="F188" s="432"/>
      <c r="G188" s="425"/>
      <c r="H188" s="432"/>
      <c r="I188" s="432"/>
      <c r="J188" s="432"/>
      <c r="K188" s="433"/>
      <c r="L188" s="9"/>
      <c r="M188" s="9"/>
    </row>
    <row r="189" spans="1:13" ht="12.75">
      <c r="A189" s="585"/>
      <c r="B189" s="426"/>
      <c r="C189" s="426"/>
      <c r="D189" s="426"/>
      <c r="E189" s="426"/>
      <c r="F189" s="426"/>
      <c r="G189" s="14"/>
      <c r="H189" s="426"/>
      <c r="I189" s="426"/>
      <c r="J189" s="426"/>
      <c r="K189" s="427"/>
      <c r="L189" s="9"/>
      <c r="M189" s="9"/>
    </row>
    <row r="190" spans="1:13" ht="15">
      <c r="A190" s="585"/>
      <c r="B190" s="14"/>
      <c r="C190" s="303"/>
      <c r="D190" s="14"/>
      <c r="E190" s="303" t="s">
        <v>313</v>
      </c>
      <c r="F190" s="587" t="e">
        <f>F187*10000/'Proc datos brutos'!G6</f>
        <v>#NUM!</v>
      </c>
      <c r="G190" s="587"/>
      <c r="H190" s="302" t="s">
        <v>320</v>
      </c>
      <c r="I190" s="426"/>
      <c r="J190" s="426"/>
      <c r="K190" s="427"/>
      <c r="L190" s="9"/>
      <c r="M190" s="9"/>
    </row>
    <row r="191" spans="1:13" ht="15" customHeight="1">
      <c r="A191" s="586"/>
      <c r="B191" s="32"/>
      <c r="C191" s="32"/>
      <c r="D191" s="32"/>
      <c r="E191" s="32"/>
      <c r="F191" s="32"/>
      <c r="G191" s="32"/>
      <c r="H191" s="32"/>
      <c r="I191" s="32"/>
      <c r="J191" s="32"/>
      <c r="K191" s="33"/>
      <c r="L191" s="9"/>
      <c r="M191" s="9"/>
    </row>
    <row r="192" spans="1:13" ht="78.75" customHeight="1">
      <c r="A192" s="552" t="s">
        <v>399</v>
      </c>
      <c r="B192" s="552"/>
      <c r="C192" s="552"/>
      <c r="D192" s="552"/>
      <c r="E192" s="552"/>
      <c r="F192" s="552"/>
      <c r="G192" s="552"/>
      <c r="H192" s="552"/>
      <c r="I192" s="553" t="s">
        <v>427</v>
      </c>
      <c r="J192" s="553"/>
      <c r="K192" s="553"/>
      <c r="L192" s="9"/>
      <c r="M192" s="9"/>
    </row>
    <row r="193" spans="1:13" ht="7.5" customHeight="1">
      <c r="A193" s="188"/>
      <c r="B193" s="30"/>
      <c r="C193" s="30"/>
      <c r="D193" s="30"/>
      <c r="E193" s="30"/>
      <c r="F193" s="30"/>
      <c r="G193" s="30"/>
      <c r="H193" s="30"/>
      <c r="I193" s="30"/>
      <c r="J193" s="30"/>
      <c r="K193" s="31"/>
      <c r="L193" s="9"/>
      <c r="M193" s="9"/>
    </row>
    <row r="194" spans="1:13" ht="15" customHeight="1">
      <c r="A194" s="185"/>
      <c r="B194" s="14"/>
      <c r="C194" s="12" t="s">
        <v>35</v>
      </c>
      <c r="D194" s="554">
        <f>'Proc datos brutos'!B2</f>
        <v>0</v>
      </c>
      <c r="E194" s="554"/>
      <c r="F194" s="554"/>
      <c r="G194" s="555"/>
      <c r="H194" s="12" t="s">
        <v>40</v>
      </c>
      <c r="I194" s="186">
        <f>'Proc datos brutos'!I3</f>
        <v>0</v>
      </c>
      <c r="J194" s="14"/>
      <c r="K194" s="15"/>
      <c r="L194" s="9"/>
      <c r="M194" s="9"/>
    </row>
    <row r="195" spans="1:13" ht="6.75" customHeight="1" hidden="1">
      <c r="A195" s="185"/>
      <c r="B195" s="14"/>
      <c r="C195" s="14"/>
      <c r="D195" s="14"/>
      <c r="E195" s="14"/>
      <c r="F195" s="14"/>
      <c r="G195" s="14"/>
      <c r="H195" s="14"/>
      <c r="I195" s="14"/>
      <c r="J195" s="14"/>
      <c r="K195" s="15"/>
      <c r="L195" s="9"/>
      <c r="M195" s="9"/>
    </row>
    <row r="196" spans="1:13" ht="15">
      <c r="A196" s="185"/>
      <c r="B196" s="14"/>
      <c r="C196" s="556" t="s">
        <v>167</v>
      </c>
      <c r="D196" s="557"/>
      <c r="E196" s="187">
        <f>'Proc datos brutos'!I1</f>
        <v>0</v>
      </c>
      <c r="F196" s="556" t="s">
        <v>420</v>
      </c>
      <c r="G196" s="557"/>
      <c r="H196" s="558">
        <f>'Proc datos brutos'!B3</f>
        <v>0</v>
      </c>
      <c r="I196" s="559"/>
      <c r="J196" s="14"/>
      <c r="K196" s="15"/>
      <c r="L196" s="9"/>
      <c r="M196" s="9"/>
    </row>
    <row r="197" spans="1:13" ht="7.5" customHeight="1">
      <c r="A197" s="387"/>
      <c r="B197" s="32"/>
      <c r="C197" s="388"/>
      <c r="D197" s="388"/>
      <c r="E197" s="389"/>
      <c r="F197" s="388"/>
      <c r="G197" s="388"/>
      <c r="H197" s="390"/>
      <c r="I197" s="390"/>
      <c r="J197" s="32"/>
      <c r="K197" s="33"/>
      <c r="L197" s="9"/>
      <c r="M197" s="9"/>
    </row>
    <row r="198" spans="1:13" ht="12.75" hidden="1">
      <c r="A198" s="391" t="s">
        <v>376</v>
      </c>
      <c r="B198" s="392"/>
      <c r="C198" s="393" t="e">
        <f>SUM(E32,E33,E34)</f>
        <v>#NUM!</v>
      </c>
      <c r="D198" s="394" t="s">
        <v>384</v>
      </c>
      <c r="E198" s="14"/>
      <c r="F198" s="394" t="e">
        <f>E23-E32/10</f>
        <v>#NUM!</v>
      </c>
      <c r="G198" s="395" t="s">
        <v>379</v>
      </c>
      <c r="H198" s="395"/>
      <c r="I198" s="396" t="e">
        <f>E10^0.33333</f>
        <v>#NUM!</v>
      </c>
      <c r="J198" s="14"/>
      <c r="K198" s="15"/>
      <c r="L198" s="9"/>
      <c r="M198" s="9"/>
    </row>
    <row r="199" spans="1:13" ht="12.75" hidden="1">
      <c r="A199" s="391" t="s">
        <v>375</v>
      </c>
      <c r="B199" s="392"/>
      <c r="C199" s="393" t="e">
        <f>170.18/E11</f>
        <v>#NUM!</v>
      </c>
      <c r="D199" s="394" t="s">
        <v>383</v>
      </c>
      <c r="E199" s="14"/>
      <c r="F199" s="394" t="e">
        <f>E30-E37/10</f>
        <v>#NUM!</v>
      </c>
      <c r="G199" s="395" t="s">
        <v>378</v>
      </c>
      <c r="H199" s="14"/>
      <c r="I199" s="395" t="e">
        <f>E11/I198</f>
        <v>#NUM!</v>
      </c>
      <c r="J199" s="14"/>
      <c r="K199" s="15"/>
      <c r="L199" s="9"/>
      <c r="M199" s="9"/>
    </row>
    <row r="200" spans="1:13" ht="12.75" hidden="1">
      <c r="A200" s="391" t="s">
        <v>377</v>
      </c>
      <c r="B200" s="392"/>
      <c r="C200" s="393" t="e">
        <f>C198*C199</f>
        <v>#NUM!</v>
      </c>
      <c r="D200" s="14"/>
      <c r="E200" s="14"/>
      <c r="F200" s="14"/>
      <c r="G200" s="14"/>
      <c r="H200" s="14"/>
      <c r="I200" s="14"/>
      <c r="J200" s="14"/>
      <c r="K200" s="15"/>
      <c r="L200" s="9"/>
      <c r="M200" s="9"/>
    </row>
    <row r="201" spans="1:13" ht="12.75" hidden="1">
      <c r="A201" s="397" t="s">
        <v>380</v>
      </c>
      <c r="B201" s="398"/>
      <c r="C201" s="399" t="e">
        <f>-0.7182+(0.1451*C200)-(0.00068*(C200^2))+(0.0000014*(C200^3))</f>
        <v>#NUM!</v>
      </c>
      <c r="D201" s="400" t="s">
        <v>381</v>
      </c>
      <c r="E201" s="401"/>
      <c r="F201" s="402" t="e">
        <f>0.858*E18+0.601*E19+0.188*F198+0.161*F199-E11*0.131+4.5</f>
        <v>#NUM!</v>
      </c>
      <c r="G201" s="403" t="s">
        <v>382</v>
      </c>
      <c r="H201" s="404"/>
      <c r="I201" s="405" t="e">
        <f>IF(I199&lt;=38.25,0.1,IF(I199&lt;40.75,0.463*I199-17.63,0.732*I199-28.58))</f>
        <v>#NUM!</v>
      </c>
      <c r="J201" s="14"/>
      <c r="K201" s="15"/>
      <c r="L201" s="9"/>
      <c r="M201" s="9"/>
    </row>
    <row r="202" spans="1:13" ht="12.75">
      <c r="A202" s="406"/>
      <c r="B202" s="30"/>
      <c r="C202" s="30"/>
      <c r="D202" s="30"/>
      <c r="E202" s="30"/>
      <c r="F202" s="30"/>
      <c r="G202" s="30"/>
      <c r="H202" s="30"/>
      <c r="I202" s="30"/>
      <c r="J202" s="30"/>
      <c r="K202" s="31"/>
      <c r="L202" s="9"/>
      <c r="M202" s="9"/>
    </row>
    <row r="203" spans="1:13" ht="12.75">
      <c r="A203" s="407" t="s">
        <v>385</v>
      </c>
      <c r="B203" s="14"/>
      <c r="C203" s="14"/>
      <c r="D203" s="14"/>
      <c r="E203" s="14"/>
      <c r="F203" s="14"/>
      <c r="G203" s="14"/>
      <c r="H203" s="14"/>
      <c r="I203" s="14"/>
      <c r="J203" s="14"/>
      <c r="K203" s="15"/>
      <c r="L203" s="9"/>
      <c r="M203" s="9"/>
    </row>
    <row r="204" spans="1:13" ht="12.75">
      <c r="A204" s="408"/>
      <c r="B204" s="14"/>
      <c r="C204" s="14"/>
      <c r="D204" s="14"/>
      <c r="E204" s="14"/>
      <c r="F204" s="14"/>
      <c r="G204" s="14"/>
      <c r="H204" s="14"/>
      <c r="I204" s="14"/>
      <c r="J204" s="14"/>
      <c r="K204" s="15"/>
      <c r="L204" s="9"/>
      <c r="M204" s="9"/>
    </row>
    <row r="205" spans="1:13" ht="12.75">
      <c r="A205" s="408"/>
      <c r="B205" s="14"/>
      <c r="C205" s="14"/>
      <c r="D205" s="14"/>
      <c r="E205" s="14"/>
      <c r="F205" s="14"/>
      <c r="G205" s="14"/>
      <c r="H205" s="14"/>
      <c r="I205" s="14"/>
      <c r="J205" s="14"/>
      <c r="K205" s="15"/>
      <c r="L205" s="9"/>
      <c r="M205" s="9"/>
    </row>
    <row r="206" spans="1:13" ht="12.75">
      <c r="A206" s="408"/>
      <c r="B206" s="14"/>
      <c r="C206" s="14"/>
      <c r="D206" s="14"/>
      <c r="E206" s="14"/>
      <c r="F206" s="14"/>
      <c r="G206" s="14"/>
      <c r="H206" s="14"/>
      <c r="I206" s="14"/>
      <c r="J206" s="14"/>
      <c r="K206" s="15"/>
      <c r="L206" s="9"/>
      <c r="M206" s="9"/>
    </row>
    <row r="207" spans="1:13" ht="12.75">
      <c r="A207" s="408"/>
      <c r="B207" s="14"/>
      <c r="C207" s="14"/>
      <c r="D207" s="14"/>
      <c r="E207" s="14"/>
      <c r="F207" s="14"/>
      <c r="G207" s="14"/>
      <c r="H207" s="14"/>
      <c r="I207" s="14"/>
      <c r="J207" s="14"/>
      <c r="K207" s="15"/>
      <c r="L207" s="9"/>
      <c r="M207" s="9"/>
    </row>
    <row r="208" spans="1:13" ht="12.75">
      <c r="A208" s="408"/>
      <c r="B208" s="14"/>
      <c r="C208" s="14"/>
      <c r="D208" s="14"/>
      <c r="E208" s="14"/>
      <c r="F208" s="14"/>
      <c r="G208" s="14"/>
      <c r="H208" s="14"/>
      <c r="I208" s="14"/>
      <c r="J208" s="14"/>
      <c r="K208" s="15"/>
      <c r="L208" s="9"/>
      <c r="M208" s="9"/>
    </row>
    <row r="209" spans="1:13" ht="12.75">
      <c r="A209" s="408"/>
      <c r="B209" s="14"/>
      <c r="C209" s="14"/>
      <c r="D209" s="14"/>
      <c r="E209" s="14"/>
      <c r="F209" s="14"/>
      <c r="G209" s="14"/>
      <c r="H209" s="14"/>
      <c r="I209" s="14"/>
      <c r="J209" s="14"/>
      <c r="K209" s="15"/>
      <c r="L209" s="9"/>
      <c r="M209" s="9"/>
    </row>
    <row r="210" spans="1:13" ht="12.75">
      <c r="A210" s="408"/>
      <c r="B210" s="14"/>
      <c r="C210" s="14"/>
      <c r="D210" s="14"/>
      <c r="E210" s="14"/>
      <c r="F210" s="14"/>
      <c r="G210" s="14"/>
      <c r="H210" s="14"/>
      <c r="I210" s="14"/>
      <c r="J210" s="14"/>
      <c r="K210" s="15"/>
      <c r="L210" s="9"/>
      <c r="M210" s="9"/>
    </row>
    <row r="211" spans="1:13" ht="12.75">
      <c r="A211" s="408"/>
      <c r="B211" s="14"/>
      <c r="C211" s="14"/>
      <c r="D211" s="14"/>
      <c r="E211" s="14"/>
      <c r="F211" s="14"/>
      <c r="G211" s="14"/>
      <c r="H211" s="14"/>
      <c r="I211" s="14"/>
      <c r="J211" s="14"/>
      <c r="K211" s="15"/>
      <c r="L211" s="9"/>
      <c r="M211" s="9"/>
    </row>
    <row r="212" spans="1:13" ht="12.75">
      <c r="A212" s="408"/>
      <c r="B212" s="14"/>
      <c r="C212" s="14"/>
      <c r="D212" s="14"/>
      <c r="E212" s="14"/>
      <c r="F212" s="14"/>
      <c r="G212" s="14"/>
      <c r="H212" s="14"/>
      <c r="I212" s="14"/>
      <c r="J212" s="14"/>
      <c r="K212" s="15"/>
      <c r="L212" s="9"/>
      <c r="M212" s="9"/>
    </row>
    <row r="213" spans="1:13" ht="12.75">
      <c r="A213" s="408"/>
      <c r="B213" s="14"/>
      <c r="C213" s="14"/>
      <c r="D213" s="14"/>
      <c r="E213" s="14"/>
      <c r="F213" s="14"/>
      <c r="G213" s="14"/>
      <c r="H213" s="14"/>
      <c r="I213" s="14"/>
      <c r="J213" s="14"/>
      <c r="K213" s="15"/>
      <c r="L213" s="9"/>
      <c r="M213" s="9"/>
    </row>
    <row r="214" spans="1:13" ht="12.75">
      <c r="A214" s="408"/>
      <c r="B214" s="14"/>
      <c r="C214" s="14"/>
      <c r="D214" s="14"/>
      <c r="E214" s="14"/>
      <c r="F214" s="14"/>
      <c r="G214" s="14"/>
      <c r="H214" s="14"/>
      <c r="I214" s="14"/>
      <c r="J214" s="14"/>
      <c r="K214" s="15"/>
      <c r="L214" s="9"/>
      <c r="M214" s="9"/>
    </row>
    <row r="215" spans="1:13" ht="12.75">
      <c r="A215" s="408"/>
      <c r="B215" s="14"/>
      <c r="C215" s="14"/>
      <c r="D215" s="14"/>
      <c r="E215" s="14"/>
      <c r="F215" s="14"/>
      <c r="G215" s="14"/>
      <c r="H215" s="14"/>
      <c r="I215" s="14"/>
      <c r="J215" s="14"/>
      <c r="K215" s="15"/>
      <c r="L215" s="9"/>
      <c r="M215" s="9"/>
    </row>
    <row r="216" spans="1:13" ht="12.75">
      <c r="A216" s="408"/>
      <c r="B216" s="14"/>
      <c r="C216" s="14"/>
      <c r="D216" s="14"/>
      <c r="E216" s="14"/>
      <c r="F216" s="14"/>
      <c r="G216" s="14"/>
      <c r="H216" s="14"/>
      <c r="I216" s="14"/>
      <c r="J216" s="14"/>
      <c r="K216" s="15"/>
      <c r="L216" s="9"/>
      <c r="M216" s="9"/>
    </row>
    <row r="217" spans="1:13" ht="12.75">
      <c r="A217" s="408"/>
      <c r="B217" s="14"/>
      <c r="C217" s="14"/>
      <c r="D217" s="14"/>
      <c r="E217" s="14"/>
      <c r="F217" s="14"/>
      <c r="G217" s="14"/>
      <c r="H217" s="14"/>
      <c r="I217" s="14"/>
      <c r="J217" s="14"/>
      <c r="K217" s="15"/>
      <c r="L217" s="9"/>
      <c r="M217" s="9"/>
    </row>
    <row r="218" spans="1:13" ht="12.75">
      <c r="A218" s="408"/>
      <c r="B218" s="14"/>
      <c r="C218" s="14"/>
      <c r="D218" s="14"/>
      <c r="E218" s="14"/>
      <c r="F218" s="14"/>
      <c r="G218" s="14"/>
      <c r="H218" s="14"/>
      <c r="I218" s="14"/>
      <c r="J218" s="14"/>
      <c r="K218" s="15"/>
      <c r="L218" s="9"/>
      <c r="M218" s="9"/>
    </row>
    <row r="219" spans="1:13" ht="12.75">
      <c r="A219" s="408"/>
      <c r="B219" s="14"/>
      <c r="C219" s="14"/>
      <c r="D219" s="14"/>
      <c r="E219" s="14"/>
      <c r="F219" s="14"/>
      <c r="G219" s="14"/>
      <c r="H219" s="14"/>
      <c r="I219" s="14"/>
      <c r="J219" s="14"/>
      <c r="K219" s="15"/>
      <c r="L219" s="9"/>
      <c r="M219" s="9"/>
    </row>
    <row r="220" spans="1:13" ht="12.75">
      <c r="A220" s="408"/>
      <c r="B220" s="14"/>
      <c r="C220" s="14"/>
      <c r="D220" s="14"/>
      <c r="E220" s="14"/>
      <c r="F220" s="14"/>
      <c r="G220" s="14"/>
      <c r="H220" s="14"/>
      <c r="I220" s="14"/>
      <c r="J220" s="14"/>
      <c r="K220" s="15"/>
      <c r="L220" s="9"/>
      <c r="M220" s="9"/>
    </row>
    <row r="221" spans="1:13" ht="12.75">
      <c r="A221" s="408"/>
      <c r="B221" s="14"/>
      <c r="C221" s="14"/>
      <c r="D221" s="14"/>
      <c r="E221" s="14"/>
      <c r="F221" s="14"/>
      <c r="G221" s="14"/>
      <c r="H221" s="14"/>
      <c r="I221" s="14"/>
      <c r="J221" s="14"/>
      <c r="K221" s="15"/>
      <c r="L221" s="9"/>
      <c r="M221" s="9"/>
    </row>
    <row r="222" spans="1:13" ht="12.75">
      <c r="A222" s="408"/>
      <c r="B222" s="14"/>
      <c r="C222" s="14"/>
      <c r="D222" s="14"/>
      <c r="E222" s="14"/>
      <c r="F222" s="14"/>
      <c r="G222" s="14"/>
      <c r="H222" s="14"/>
      <c r="I222" s="14"/>
      <c r="J222" s="14"/>
      <c r="K222" s="15"/>
      <c r="L222" s="9"/>
      <c r="M222" s="9"/>
    </row>
    <row r="223" spans="1:13" ht="12.75">
      <c r="A223" s="408"/>
      <c r="B223" s="14"/>
      <c r="C223" s="14"/>
      <c r="D223" s="14"/>
      <c r="E223" s="14"/>
      <c r="F223" s="14"/>
      <c r="G223" s="14"/>
      <c r="H223" s="14"/>
      <c r="I223" s="14"/>
      <c r="J223" s="14"/>
      <c r="K223" s="15"/>
      <c r="L223" s="9"/>
      <c r="M223" s="9"/>
    </row>
    <row r="224" spans="1:13" ht="12.75">
      <c r="A224" s="408"/>
      <c r="B224" s="14"/>
      <c r="C224" s="14"/>
      <c r="D224" s="14"/>
      <c r="E224" s="14"/>
      <c r="F224" s="14"/>
      <c r="G224" s="14"/>
      <c r="H224" s="14"/>
      <c r="I224" s="14"/>
      <c r="J224" s="14"/>
      <c r="K224" s="15"/>
      <c r="L224" s="9"/>
      <c r="M224" s="9"/>
    </row>
    <row r="225" spans="1:13" ht="23.25" customHeight="1">
      <c r="A225" s="409"/>
      <c r="B225" s="14"/>
      <c r="C225" s="14"/>
      <c r="D225" s="14"/>
      <c r="E225" s="14"/>
      <c r="F225" s="14"/>
      <c r="G225" s="14"/>
      <c r="H225" s="14"/>
      <c r="I225" s="14"/>
      <c r="J225" s="14"/>
      <c r="K225" s="15"/>
      <c r="L225" s="9"/>
      <c r="M225" s="9"/>
    </row>
    <row r="226" spans="1:13" ht="12.75">
      <c r="A226" s="539" t="s">
        <v>390</v>
      </c>
      <c r="B226" s="540"/>
      <c r="C226" s="540"/>
      <c r="D226" s="410" t="s">
        <v>386</v>
      </c>
      <c r="E226" s="411" t="s">
        <v>387</v>
      </c>
      <c r="F226" s="412" t="s">
        <v>388</v>
      </c>
      <c r="G226" s="480"/>
      <c r="H226" s="480"/>
      <c r="I226" s="480"/>
      <c r="J226" s="481" t="s">
        <v>394</v>
      </c>
      <c r="K226" s="482" t="e">
        <f>I201-C201</f>
        <v>#NUM!</v>
      </c>
      <c r="L226" s="479"/>
      <c r="M226" s="9"/>
    </row>
    <row r="227" spans="1:13" ht="15">
      <c r="A227" s="541"/>
      <c r="B227" s="542"/>
      <c r="C227" s="542"/>
      <c r="D227" s="454" t="e">
        <f>C201</f>
        <v>#NUM!</v>
      </c>
      <c r="E227" s="452" t="e">
        <f>F201</f>
        <v>#NUM!</v>
      </c>
      <c r="F227" s="453" t="e">
        <f>I201</f>
        <v>#NUM!</v>
      </c>
      <c r="G227" s="483" t="s">
        <v>418</v>
      </c>
      <c r="H227" s="484"/>
      <c r="I227" s="484"/>
      <c r="J227" s="485" t="s">
        <v>395</v>
      </c>
      <c r="K227" s="486" t="e">
        <f>2*F201-(C201+I201)</f>
        <v>#NUM!</v>
      </c>
      <c r="L227" s="479"/>
      <c r="M227" s="9"/>
    </row>
    <row r="228" spans="1:13" ht="15">
      <c r="A228" s="543"/>
      <c r="B228" s="544"/>
      <c r="C228" s="544"/>
      <c r="D228" s="472">
        <v>0</v>
      </c>
      <c r="E228" s="473">
        <v>0</v>
      </c>
      <c r="F228" s="474">
        <v>0</v>
      </c>
      <c r="G228" s="475" t="s">
        <v>419</v>
      </c>
      <c r="H228" s="476"/>
      <c r="I228" s="476"/>
      <c r="J228" s="477"/>
      <c r="K228" s="478"/>
      <c r="L228" s="479"/>
      <c r="M228" s="9"/>
    </row>
    <row r="229" spans="1:13" ht="12.75">
      <c r="A229" s="539" t="s">
        <v>391</v>
      </c>
      <c r="B229" s="540"/>
      <c r="C229" s="547"/>
      <c r="D229" s="18" t="s">
        <v>392</v>
      </c>
      <c r="E229" s="14"/>
      <c r="F229" s="14"/>
      <c r="G229" s="14"/>
      <c r="H229" s="455">
        <f>IF(L230="Ninguno","",L230)</f>
      </c>
      <c r="I229" s="14"/>
      <c r="J229" s="14"/>
      <c r="K229" s="15"/>
      <c r="L229" s="11" t="str">
        <f>'Proc datos brutos'!C1</f>
        <v>Ninguno</v>
      </c>
      <c r="M229" s="9"/>
    </row>
    <row r="230" spans="1:13" ht="12.75">
      <c r="A230" s="541"/>
      <c r="B230" s="542"/>
      <c r="C230" s="548"/>
      <c r="D230" s="18" t="s">
        <v>393</v>
      </c>
      <c r="E230" s="14"/>
      <c r="F230" s="14"/>
      <c r="G230" s="14"/>
      <c r="H230" s="14"/>
      <c r="I230" s="14"/>
      <c r="J230" s="413" t="s">
        <v>398</v>
      </c>
      <c r="K230" s="414">
        <f>'Proc datos brutos'!I2</f>
        <v>0</v>
      </c>
      <c r="L230" s="11" t="str">
        <f>VLOOKUP(L229,deps,2)</f>
        <v>Ninguno</v>
      </c>
      <c r="M230" s="9"/>
    </row>
    <row r="231" spans="1:13" ht="12.75">
      <c r="A231" s="541"/>
      <c r="B231" s="542"/>
      <c r="C231" s="548"/>
      <c r="D231" s="9"/>
      <c r="E231" s="9"/>
      <c r="F231" s="9"/>
      <c r="G231" s="415" t="s">
        <v>386</v>
      </c>
      <c r="H231" s="416" t="s">
        <v>387</v>
      </c>
      <c r="I231" s="272" t="s">
        <v>388</v>
      </c>
      <c r="J231" s="413" t="s">
        <v>396</v>
      </c>
      <c r="K231" s="417">
        <f>I232-G232</f>
        <v>0</v>
      </c>
      <c r="L231" s="9"/>
      <c r="M231" s="9"/>
    </row>
    <row r="232" spans="1:13" ht="15">
      <c r="A232" s="543"/>
      <c r="B232" s="544"/>
      <c r="C232" s="549"/>
      <c r="D232" s="387"/>
      <c r="E232" s="32"/>
      <c r="F232" s="32"/>
      <c r="G232" s="418">
        <f>IF(K230=1,VLOOKUP(L229,depm,2),VLOOKUP(L229,depf,2))</f>
        <v>0</v>
      </c>
      <c r="H232" s="419">
        <f>IF(K230=1,VLOOKUP(L229,depm,3),VLOOKUP(L229,depf,3))</f>
        <v>0</v>
      </c>
      <c r="I232" s="420">
        <f>IF(K230=1,VLOOKUP(L229,depm,4),VLOOKUP(L229,depf,4))</f>
        <v>0</v>
      </c>
      <c r="J232" s="421" t="s">
        <v>397</v>
      </c>
      <c r="K232" s="422">
        <f>2*H232-(G232+I232)</f>
        <v>0</v>
      </c>
      <c r="L232" s="9"/>
      <c r="M232" s="9"/>
    </row>
    <row r="233" spans="1:13" ht="13.5" customHeight="1">
      <c r="A233" s="546" t="s">
        <v>400</v>
      </c>
      <c r="B233" s="546"/>
      <c r="C233" s="546" t="s">
        <v>401</v>
      </c>
      <c r="D233" s="546"/>
      <c r="E233" s="546" t="s">
        <v>402</v>
      </c>
      <c r="F233" s="546"/>
      <c r="G233" s="546" t="s">
        <v>403</v>
      </c>
      <c r="H233" s="546"/>
      <c r="I233" s="546"/>
      <c r="J233" s="423"/>
      <c r="K233" s="550" t="s">
        <v>389</v>
      </c>
      <c r="L233" s="9"/>
      <c r="M233" s="9"/>
    </row>
    <row r="234" spans="1:13" ht="87.75" customHeight="1">
      <c r="A234" s="545" t="s">
        <v>426</v>
      </c>
      <c r="B234" s="545"/>
      <c r="C234" s="545" t="s">
        <v>405</v>
      </c>
      <c r="D234" s="545"/>
      <c r="E234" s="545" t="s">
        <v>406</v>
      </c>
      <c r="F234" s="545"/>
      <c r="G234" s="545" t="s">
        <v>407</v>
      </c>
      <c r="H234" s="545"/>
      <c r="I234" s="545"/>
      <c r="J234" s="424" t="s">
        <v>425</v>
      </c>
      <c r="K234" s="551"/>
      <c r="L234" s="9"/>
      <c r="M234" s="9"/>
    </row>
    <row r="235" spans="1:13" ht="84.75" customHeight="1">
      <c r="A235" s="545" t="s">
        <v>408</v>
      </c>
      <c r="B235" s="545"/>
      <c r="C235" s="545" t="s">
        <v>409</v>
      </c>
      <c r="D235" s="545"/>
      <c r="E235" s="545" t="s">
        <v>410</v>
      </c>
      <c r="F235" s="545"/>
      <c r="G235" s="545" t="s">
        <v>411</v>
      </c>
      <c r="H235" s="545"/>
      <c r="I235" s="545"/>
      <c r="J235" s="424" t="s">
        <v>404</v>
      </c>
      <c r="K235" s="551"/>
      <c r="L235" s="9"/>
      <c r="M235" s="9"/>
    </row>
    <row r="236" spans="1:13" ht="58.5" customHeight="1">
      <c r="A236" s="545" t="s">
        <v>416</v>
      </c>
      <c r="B236" s="545"/>
      <c r="C236" s="545" t="s">
        <v>412</v>
      </c>
      <c r="D236" s="545"/>
      <c r="E236" s="545" t="s">
        <v>413</v>
      </c>
      <c r="F236" s="545"/>
      <c r="G236" s="545" t="s">
        <v>415</v>
      </c>
      <c r="H236" s="545"/>
      <c r="I236" s="545"/>
      <c r="J236" s="424" t="s">
        <v>424</v>
      </c>
      <c r="K236" s="551"/>
      <c r="L236" s="9"/>
      <c r="M236" s="9"/>
    </row>
    <row r="237" ht="78.75" customHeight="1">
      <c r="A237" s="1" t="str">
        <f>'Proc datos brutos'!C1</f>
        <v>Ninguno</v>
      </c>
    </row>
    <row r="243" ht="25.5" customHeight="1"/>
    <row r="244" ht="25.5" customHeight="1"/>
    <row r="245" ht="45.75" customHeight="1"/>
    <row r="248" ht="12.75">
      <c r="A248" s="1">
        <v>1</v>
      </c>
    </row>
    <row r="249" ht="12.75">
      <c r="A249" s="1">
        <v>2</v>
      </c>
    </row>
    <row r="250" ht="12.75">
      <c r="A250" s="1">
        <v>3</v>
      </c>
    </row>
    <row r="251" ht="12.75">
      <c r="A251" s="1">
        <v>4</v>
      </c>
    </row>
    <row r="252" ht="12.75">
      <c r="A252" s="1">
        <v>5</v>
      </c>
    </row>
    <row r="253" ht="25.5" customHeight="1">
      <c r="A253" s="1"/>
    </row>
    <row r="254" ht="12.75">
      <c r="A254" s="1"/>
    </row>
    <row r="255" ht="12.75">
      <c r="A255" s="1"/>
    </row>
    <row r="256" ht="12.75">
      <c r="A256" s="1">
        <v>1</v>
      </c>
    </row>
    <row r="257" ht="12.75">
      <c r="A257" s="1">
        <v>2</v>
      </c>
    </row>
    <row r="258" ht="12.75">
      <c r="A258" s="1">
        <v>3</v>
      </c>
    </row>
    <row r="259" ht="12.75">
      <c r="A259" s="1">
        <v>4</v>
      </c>
    </row>
    <row r="260" ht="12.75">
      <c r="A260" s="1">
        <v>5</v>
      </c>
    </row>
    <row r="261" ht="25.5" customHeight="1">
      <c r="A261" s="1"/>
    </row>
    <row r="262" ht="12.75">
      <c r="A262" s="1"/>
    </row>
    <row r="263" ht="12.75">
      <c r="A263" s="1"/>
    </row>
    <row r="264" ht="12.75">
      <c r="A264" s="1">
        <v>1</v>
      </c>
    </row>
    <row r="265" ht="12.75">
      <c r="A265" s="1">
        <v>2</v>
      </c>
    </row>
    <row r="266" ht="12.75">
      <c r="A266" s="1">
        <v>3</v>
      </c>
    </row>
    <row r="267" ht="12.75">
      <c r="A267" s="1">
        <v>4</v>
      </c>
    </row>
    <row r="268" ht="12.75">
      <c r="A268" s="1">
        <v>5</v>
      </c>
    </row>
    <row r="269" ht="25.5" customHeight="1">
      <c r="A269" s="1"/>
    </row>
    <row r="270" ht="12.75">
      <c r="A270" s="1"/>
    </row>
    <row r="271" ht="12.75">
      <c r="A271" s="1"/>
    </row>
    <row r="272" ht="12.75">
      <c r="A272" s="1">
        <v>1</v>
      </c>
    </row>
    <row r="273" ht="12.75">
      <c r="A273" s="1">
        <v>2</v>
      </c>
    </row>
    <row r="274" ht="12.75">
      <c r="A274" s="1">
        <v>3</v>
      </c>
    </row>
    <row r="275" ht="12.75">
      <c r="A275" s="1">
        <v>4</v>
      </c>
    </row>
    <row r="276" ht="12.75">
      <c r="A276" s="1">
        <v>5</v>
      </c>
    </row>
  </sheetData>
  <sheetProtection/>
  <mergeCells count="155">
    <mergeCell ref="A155:A173"/>
    <mergeCell ref="A97:K97"/>
    <mergeCell ref="D160:K160"/>
    <mergeCell ref="B162:B166"/>
    <mergeCell ref="B167:B171"/>
    <mergeCell ref="D171:E171"/>
    <mergeCell ref="F169:G169"/>
    <mergeCell ref="F170:G170"/>
    <mergeCell ref="F171:G171"/>
    <mergeCell ref="D168:E168"/>
    <mergeCell ref="D169:E169"/>
    <mergeCell ref="D170:E170"/>
    <mergeCell ref="D162:E162"/>
    <mergeCell ref="F163:G163"/>
    <mergeCell ref="F164:G164"/>
    <mergeCell ref="D167:E167"/>
    <mergeCell ref="D163:E163"/>
    <mergeCell ref="D165:E165"/>
    <mergeCell ref="D164:E164"/>
    <mergeCell ref="F166:G166"/>
    <mergeCell ref="J168:K168"/>
    <mergeCell ref="J169:K169"/>
    <mergeCell ref="J170:K170"/>
    <mergeCell ref="J167:K167"/>
    <mergeCell ref="J171:K171"/>
    <mergeCell ref="A101:K103"/>
    <mergeCell ref="K137:K141"/>
    <mergeCell ref="I58:J58"/>
    <mergeCell ref="I62:J62"/>
    <mergeCell ref="G62:H62"/>
    <mergeCell ref="A76:K77"/>
    <mergeCell ref="A66:K69"/>
    <mergeCell ref="E84:F84"/>
    <mergeCell ref="G61:H61"/>
    <mergeCell ref="H95:I95"/>
    <mergeCell ref="C83:D83"/>
    <mergeCell ref="I91:K91"/>
    <mergeCell ref="K58:K64"/>
    <mergeCell ref="G58:H58"/>
    <mergeCell ref="I64:J64"/>
    <mergeCell ref="G64:H64"/>
    <mergeCell ref="I59:J59"/>
    <mergeCell ref="I60:J60"/>
    <mergeCell ref="I63:J63"/>
    <mergeCell ref="I1:K1"/>
    <mergeCell ref="A1:H1"/>
    <mergeCell ref="I8:J8"/>
    <mergeCell ref="G8:H8"/>
    <mergeCell ref="H5:I5"/>
    <mergeCell ref="F5:G5"/>
    <mergeCell ref="C5:D5"/>
    <mergeCell ref="D3:G3"/>
    <mergeCell ref="Q10:Q37"/>
    <mergeCell ref="G140:J140"/>
    <mergeCell ref="B89:K90"/>
    <mergeCell ref="G65:H65"/>
    <mergeCell ref="D40:G40"/>
    <mergeCell ref="C42:D42"/>
    <mergeCell ref="F42:G42"/>
    <mergeCell ref="H42:I42"/>
    <mergeCell ref="K44:K57"/>
    <mergeCell ref="E138:I138"/>
    <mergeCell ref="G59:H59"/>
    <mergeCell ref="G60:H60"/>
    <mergeCell ref="I61:J61"/>
    <mergeCell ref="G63:H63"/>
    <mergeCell ref="A10:A12"/>
    <mergeCell ref="A14:A19"/>
    <mergeCell ref="A21:A30"/>
    <mergeCell ref="A32:A37"/>
    <mergeCell ref="D93:G93"/>
    <mergeCell ref="C95:D95"/>
    <mergeCell ref="F95:G95"/>
    <mergeCell ref="E88:F88"/>
    <mergeCell ref="A98:K100"/>
    <mergeCell ref="D144:G144"/>
    <mergeCell ref="C146:D146"/>
    <mergeCell ref="F146:G146"/>
    <mergeCell ref="H146:I146"/>
    <mergeCell ref="J165:K165"/>
    <mergeCell ref="J166:K166"/>
    <mergeCell ref="D152:E152"/>
    <mergeCell ref="H165:I165"/>
    <mergeCell ref="H164:I164"/>
    <mergeCell ref="J154:K154"/>
    <mergeCell ref="F165:G165"/>
    <mergeCell ref="J162:K162"/>
    <mergeCell ref="F162:G162"/>
    <mergeCell ref="B156:K158"/>
    <mergeCell ref="D173:E173"/>
    <mergeCell ref="H168:I168"/>
    <mergeCell ref="H167:I167"/>
    <mergeCell ref="H166:I166"/>
    <mergeCell ref="F168:G168"/>
    <mergeCell ref="F167:G167"/>
    <mergeCell ref="H171:I171"/>
    <mergeCell ref="D166:E166"/>
    <mergeCell ref="H169:I169"/>
    <mergeCell ref="H170:I170"/>
    <mergeCell ref="G149:H149"/>
    <mergeCell ref="J163:K163"/>
    <mergeCell ref="J164:K164"/>
    <mergeCell ref="F161:G161"/>
    <mergeCell ref="H161:I161"/>
    <mergeCell ref="H162:I162"/>
    <mergeCell ref="H153:I153"/>
    <mergeCell ref="E149:F149"/>
    <mergeCell ref="J152:K153"/>
    <mergeCell ref="J148:K151"/>
    <mergeCell ref="J161:K161"/>
    <mergeCell ref="D161:E161"/>
    <mergeCell ref="H163:I163"/>
    <mergeCell ref="A174:A191"/>
    <mergeCell ref="D178:E178"/>
    <mergeCell ref="F181:G181"/>
    <mergeCell ref="F187:G187"/>
    <mergeCell ref="F190:G190"/>
    <mergeCell ref="G184:H184"/>
    <mergeCell ref="F175:G175"/>
    <mergeCell ref="I38:K38"/>
    <mergeCell ref="I142:K142"/>
    <mergeCell ref="A142:H142"/>
    <mergeCell ref="A38:H38"/>
    <mergeCell ref="A91:H91"/>
    <mergeCell ref="E83:F83"/>
    <mergeCell ref="B82:F82"/>
    <mergeCell ref="A80:K81"/>
    <mergeCell ref="A82:A90"/>
    <mergeCell ref="A44:A57"/>
    <mergeCell ref="A192:H192"/>
    <mergeCell ref="I192:K192"/>
    <mergeCell ref="D194:G194"/>
    <mergeCell ref="C196:D196"/>
    <mergeCell ref="F196:G196"/>
    <mergeCell ref="H196:I196"/>
    <mergeCell ref="K233:K236"/>
    <mergeCell ref="A234:B234"/>
    <mergeCell ref="C234:D234"/>
    <mergeCell ref="E234:F234"/>
    <mergeCell ref="G234:I234"/>
    <mergeCell ref="G235:I235"/>
    <mergeCell ref="A236:B236"/>
    <mergeCell ref="C236:D236"/>
    <mergeCell ref="A233:B233"/>
    <mergeCell ref="C233:D233"/>
    <mergeCell ref="I178:J178"/>
    <mergeCell ref="A226:C228"/>
    <mergeCell ref="E236:F236"/>
    <mergeCell ref="G236:I236"/>
    <mergeCell ref="A235:B235"/>
    <mergeCell ref="C235:D235"/>
    <mergeCell ref="E235:F235"/>
    <mergeCell ref="E233:F233"/>
    <mergeCell ref="A229:C232"/>
    <mergeCell ref="G233:I233"/>
  </mergeCells>
  <conditionalFormatting sqref="I10:I37">
    <cfRule type="cellIs" priority="1" dxfId="1" operator="equal" stopIfTrue="1">
      <formula>"S"</formula>
    </cfRule>
    <cfRule type="cellIs" priority="2" dxfId="2" operator="equal" stopIfTrue="1">
      <formula>"NS"</formula>
    </cfRule>
  </conditionalFormatting>
  <conditionalFormatting sqref="C162:K166">
    <cfRule type="expression" priority="3" dxfId="0" stopIfTrue="1">
      <formula>$K$173=1</formula>
    </cfRule>
  </conditionalFormatting>
  <conditionalFormatting sqref="C167:K171">
    <cfRule type="expression" priority="4" dxfId="0" stopIfTrue="1">
      <formula>$K$173=2</formula>
    </cfRule>
  </conditionalFormatting>
  <conditionalFormatting sqref="J22:J30 J32:J37 J10">
    <cfRule type="cellIs" priority="5" dxfId="3" operator="lessThan" stopIfTrue="1">
      <formula>0</formula>
    </cfRule>
    <cfRule type="cellIs" priority="6" dxfId="4" operator="equal" stopIfTrue="1">
      <formula>0</formula>
    </cfRule>
    <cfRule type="cellIs" priority="7" dxfId="5" operator="greaterThan" stopIfTrue="1">
      <formula>0</formula>
    </cfRule>
  </conditionalFormatting>
  <dataValidations count="2">
    <dataValidation allowBlank="1" promptTitle="IMPORTANTE" prompt="Ingrese el porcentaje con formato n%.&#10;Recuerde que debe escribir el signo del porcentaje a continuación del número" errorTitle="ERROR" error="El error técnico de medición del antropometrista fue ingresado incorrectamente. Recuerde que el formato correcto es n%. Por ejemplo: 2,3%" sqref="J138"/>
    <dataValidation allowBlank="1" showInputMessage="1" showErrorMessage="1" promptTitle="IMPORTANTE" prompt="No debe modificar estos valores. De hacerlo el procesamiento de los datos no será correcto." sqref="P10:P37"/>
  </dataValidations>
  <printOptions horizontalCentered="1"/>
  <pageMargins left="0.3937007874015748" right="0.3937007874015748" top="0.3937007874015748" bottom="0.5905511811023623" header="0" footer="0.1968503937007874"/>
  <pageSetup fitToHeight="4" horizontalDpi="300" verticalDpi="300" orientation="portrait" paperSize="9" scale="93" r:id="rId2"/>
  <rowBreaks count="4" manualBreakCount="4">
    <brk id="37" max="10" man="1"/>
    <brk id="90" max="10" man="1"/>
    <brk id="141" max="10" man="1"/>
    <brk id="19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Consultorio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 Holway</dc:creator>
  <cp:keywords/>
  <dc:description/>
  <cp:lastModifiedBy>PC</cp:lastModifiedBy>
  <cp:lastPrinted>2007-05-03T22:10:25Z</cp:lastPrinted>
  <dcterms:created xsi:type="dcterms:W3CDTF">1999-08-23T20:00:20Z</dcterms:created>
  <dcterms:modified xsi:type="dcterms:W3CDTF">2009-12-02T14:34:32Z</dcterms:modified>
  <cp:category/>
  <cp:version/>
  <cp:contentType/>
  <cp:contentStatus/>
</cp:coreProperties>
</file>