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ratula" sheetId="1" r:id="rId1"/>
    <sheet name="Hoja1" sheetId="2" r:id="rId2"/>
  </sheets>
  <definedNames>
    <definedName name="SEM1">'Hoja1'!$B$6:$L$16</definedName>
    <definedName name="SEM2">'Hoja1'!$B$18:$P$28</definedName>
    <definedName name="Excel_BuiltIn_Print_Area" localSheetId="1">NA()</definedName>
    <definedName name="Excel_BuiltIn_Sheet_Title" localSheetId="1">"Hoja1"</definedName>
  </definedNames>
  <calcPr fullCalcOnLoad="1"/>
</workbook>
</file>

<file path=xl/sharedStrings.xml><?xml version="1.0" encoding="utf-8"?>
<sst xmlns="http://schemas.openxmlformats.org/spreadsheetml/2006/main" count="121" uniqueCount="85">
  <si>
    <t>BMW</t>
  </si>
  <si>
    <t>CALLE CONDOR No.1254</t>
  </si>
  <si>
    <t>COL. LA PAZ</t>
  </si>
  <si>
    <t>CLAVE</t>
  </si>
  <si>
    <t>SDA</t>
  </si>
  <si>
    <t>DESEMPEÑO</t>
  </si>
  <si>
    <t>NOMBRE</t>
  </si>
  <si>
    <t>PUNTUALIDAD</t>
  </si>
  <si>
    <t>TURNO</t>
  </si>
  <si>
    <t>EXTRA</t>
  </si>
  <si>
    <t>1° SEMANA</t>
  </si>
  <si>
    <t>HORAS EXTRAS 1°</t>
  </si>
  <si>
    <t>RETENCION IMP.</t>
  </si>
  <si>
    <t>2° SEMANA</t>
  </si>
  <si>
    <t>HORAS EXTRAS 2°</t>
  </si>
  <si>
    <t>SUMA</t>
  </si>
  <si>
    <t>IMPUESTO</t>
  </si>
  <si>
    <t>TOTAL</t>
  </si>
  <si>
    <t>A</t>
  </si>
  <si>
    <t>MATUTINO</t>
  </si>
  <si>
    <t xml:space="preserve">JORNADA LABORAL </t>
  </si>
  <si>
    <t>IMPUESTO QUINCENAL</t>
  </si>
  <si>
    <t>B</t>
  </si>
  <si>
    <t>VESPERTINO</t>
  </si>
  <si>
    <t>BUENO</t>
  </si>
  <si>
    <t>C</t>
  </si>
  <si>
    <t>NOCTURNO</t>
  </si>
  <si>
    <t>REGULAR</t>
  </si>
  <si>
    <t>MALO</t>
  </si>
  <si>
    <t>N. PLAZA</t>
  </si>
  <si>
    <t>AP. PATERNO</t>
  </si>
  <si>
    <t>AP. MATERNO</t>
  </si>
  <si>
    <t>HORARIO</t>
  </si>
  <si>
    <t>HORAS TRABAJADAS</t>
  </si>
  <si>
    <t>EXTRAS</t>
  </si>
  <si>
    <t>PAGO SEMANAL</t>
  </si>
  <si>
    <t>PAGO HORAS EXTRAS</t>
  </si>
  <si>
    <t>PAGO TOTAL SEMANAL</t>
  </si>
  <si>
    <t>Irma Ivette</t>
  </si>
  <si>
    <t>Muñoz</t>
  </si>
  <si>
    <t>Ramírez</t>
  </si>
  <si>
    <t>Samuel</t>
  </si>
  <si>
    <t>Díaz</t>
  </si>
  <si>
    <t>Amezquita</t>
  </si>
  <si>
    <t>Aurora</t>
  </si>
  <si>
    <t>Pont</t>
  </si>
  <si>
    <t>Guerra</t>
  </si>
  <si>
    <t>David</t>
  </si>
  <si>
    <t>Gutiérrez</t>
  </si>
  <si>
    <t>Ponce</t>
  </si>
  <si>
    <t>Mauricio</t>
  </si>
  <si>
    <t>Juárez</t>
  </si>
  <si>
    <t>Yolanda</t>
  </si>
  <si>
    <t>Serrano</t>
  </si>
  <si>
    <t xml:space="preserve">Suarez </t>
  </si>
  <si>
    <t>Andrea</t>
  </si>
  <si>
    <t>Mora</t>
  </si>
  <si>
    <t>Dávalos</t>
  </si>
  <si>
    <t>Miguel</t>
  </si>
  <si>
    <t>Borja</t>
  </si>
  <si>
    <t>Nuño</t>
  </si>
  <si>
    <t>Verónica</t>
  </si>
  <si>
    <t>Álvarez</t>
  </si>
  <si>
    <t>González</t>
  </si>
  <si>
    <t>Mario</t>
  </si>
  <si>
    <t>Ramos</t>
  </si>
  <si>
    <t>NO. PLAZA</t>
  </si>
  <si>
    <t>PAGO QUINCENAL S/IMP.</t>
  </si>
  <si>
    <t>IMPUESTO A PAGAR</t>
  </si>
  <si>
    <t>TOTAL QUINCENAL</t>
  </si>
  <si>
    <t>BONO 1</t>
  </si>
  <si>
    <t>BONO 2</t>
  </si>
  <si>
    <t>TOTAL FINAL</t>
  </si>
  <si>
    <t>IMR</t>
  </si>
  <si>
    <t>SI</t>
  </si>
  <si>
    <t>APG</t>
  </si>
  <si>
    <t>NO</t>
  </si>
  <si>
    <t>DGP</t>
  </si>
  <si>
    <t>MJD</t>
  </si>
  <si>
    <t>YSS</t>
  </si>
  <si>
    <t>AMD</t>
  </si>
  <si>
    <t>MBN</t>
  </si>
  <si>
    <t>VÁG</t>
  </si>
  <si>
    <t>MRD</t>
  </si>
  <si>
    <t>&amp;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</si>
</sst>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.00%"/>
    <numFmt numFmtId="167" formatCode="_-\$* #,##0.00_-;&quot;-$&quot;* #,##0.00_-;_-\$* \-??_-;_-@_-"/>
    <numFmt numFmtId="168" formatCode="_-&quot;$ &quot;* #,##0.00_-;&quot;-$ &quot;* #,##0.00_-;_-&quot;$ &quot;* \-??_-;_-@_-"/>
  </numFmts>
  <fonts count="3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0" xfId="0" applyFill="1" applyAlignment="1">
      <alignment/>
    </xf>
    <xf numFmtId="164" fontId="0" fillId="2" borderId="4" xfId="0" applyFill="1" applyBorder="1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1" fillId="3" borderId="6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1" fillId="3" borderId="8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Alignment="1">
      <alignment horizontal="center" vertical="center"/>
    </xf>
    <xf numFmtId="164" fontId="0" fillId="2" borderId="9" xfId="0" applyFill="1" applyBorder="1" applyAlignment="1">
      <alignment/>
    </xf>
    <xf numFmtId="164" fontId="0" fillId="2" borderId="10" xfId="0" applyFill="1" applyBorder="1" applyAlignment="1">
      <alignment/>
    </xf>
    <xf numFmtId="164" fontId="1" fillId="2" borderId="10" xfId="0" applyFont="1" applyFill="1" applyBorder="1" applyAlignment="1">
      <alignment/>
    </xf>
    <xf numFmtId="164" fontId="0" fillId="2" borderId="11" xfId="0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2" fillId="2" borderId="12" xfId="0" applyNumberFormat="1" applyFont="1" applyFill="1" applyBorder="1" applyAlignment="1" applyProtection="1">
      <alignment/>
      <protection/>
    </xf>
    <xf numFmtId="164" fontId="2" fillId="2" borderId="12" xfId="0" applyNumberFormat="1" applyFont="1" applyFill="1" applyBorder="1" applyAlignment="1" applyProtection="1">
      <alignment horizontal="center"/>
      <protection/>
    </xf>
    <xf numFmtId="164" fontId="0" fillId="2" borderId="12" xfId="0" applyNumberFormat="1" applyFont="1" applyFill="1" applyBorder="1" applyAlignment="1" applyProtection="1">
      <alignment horizontal="center"/>
      <protection/>
    </xf>
    <xf numFmtId="166" fontId="0" fillId="2" borderId="12" xfId="0" applyNumberFormat="1" applyFont="1" applyFill="1" applyBorder="1" applyAlignment="1" applyProtection="1">
      <alignment horizontal="center"/>
      <protection/>
    </xf>
    <xf numFmtId="167" fontId="0" fillId="2" borderId="12" xfId="0" applyNumberFormat="1" applyFont="1" applyFill="1" applyBorder="1" applyAlignment="1" applyProtection="1">
      <alignment horizontal="center"/>
      <protection/>
    </xf>
    <xf numFmtId="164" fontId="2" fillId="4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8" fontId="0" fillId="0" borderId="12" xfId="0" applyNumberFormat="1" applyFont="1" applyFill="1" applyBorder="1" applyAlignment="1" applyProtection="1">
      <alignment/>
      <protection/>
    </xf>
    <xf numFmtId="165" fontId="0" fillId="0" borderId="12" xfId="0" applyNumberFormat="1" applyFont="1" applyFill="1" applyBorder="1" applyAlignment="1" applyProtection="1">
      <alignment/>
      <protection/>
    </xf>
    <xf numFmtId="168" fontId="0" fillId="0" borderId="1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</xdr:row>
      <xdr:rowOff>9525</xdr:rowOff>
    </xdr:from>
    <xdr:to>
      <xdr:col>3</xdr:col>
      <xdr:colOff>685800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33375"/>
          <a:ext cx="14478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1"/>
  <sheetViews>
    <sheetView tabSelected="1" zoomScaleSheetLayoutView="10" workbookViewId="0" topLeftCell="A1">
      <selection activeCell="J20" sqref="J20"/>
    </sheetView>
  </sheetViews>
  <sheetFormatPr defaultColWidth="11.421875" defaultRowHeight="12.75"/>
  <cols>
    <col min="1" max="16384" width="11.57421875" style="0" customWidth="1"/>
  </cols>
  <sheetData>
    <row r="3" spans="3:13" ht="12.75">
      <c r="C3" s="1"/>
      <c r="D3" s="2"/>
      <c r="E3" s="2"/>
      <c r="F3" s="2"/>
      <c r="G3" s="2"/>
      <c r="H3" s="2"/>
      <c r="I3" s="2"/>
      <c r="J3" s="2"/>
      <c r="K3" s="2"/>
      <c r="L3" s="3"/>
      <c r="M3" s="4"/>
    </row>
    <row r="4" spans="3:13" ht="14.25">
      <c r="C4" s="5"/>
      <c r="D4" s="6"/>
      <c r="E4" s="7" t="s">
        <v>0</v>
      </c>
      <c r="F4" s="7"/>
      <c r="G4" s="7"/>
      <c r="H4" s="7"/>
      <c r="I4" s="7"/>
      <c r="J4" s="7"/>
      <c r="K4" s="8"/>
      <c r="L4" s="9"/>
      <c r="M4" s="4"/>
    </row>
    <row r="5" spans="3:13" ht="14.25">
      <c r="C5" s="5"/>
      <c r="D5" s="6"/>
      <c r="E5" s="7" t="s">
        <v>1</v>
      </c>
      <c r="F5" s="7"/>
      <c r="G5" s="7"/>
      <c r="H5" s="7"/>
      <c r="I5" s="7"/>
      <c r="J5" s="7"/>
      <c r="K5" s="8"/>
      <c r="L5" s="9"/>
      <c r="M5" s="4"/>
    </row>
    <row r="6" spans="3:13" ht="14.25">
      <c r="C6" s="5"/>
      <c r="D6" s="6"/>
      <c r="E6" s="7" t="s">
        <v>2</v>
      </c>
      <c r="F6" s="7"/>
      <c r="G6" s="7"/>
      <c r="H6" s="7"/>
      <c r="I6" s="7"/>
      <c r="J6" s="7"/>
      <c r="K6" s="8"/>
      <c r="L6" s="9"/>
      <c r="M6" s="4"/>
    </row>
    <row r="7" spans="3:13" ht="14.25">
      <c r="C7" s="5"/>
      <c r="D7" s="6"/>
      <c r="E7" s="7"/>
      <c r="F7" s="7"/>
      <c r="G7" s="7"/>
      <c r="H7" s="7"/>
      <c r="I7" s="7"/>
      <c r="J7" s="7"/>
      <c r="K7" s="8"/>
      <c r="L7" s="9"/>
      <c r="M7" s="4"/>
    </row>
    <row r="8" spans="3:13" ht="14.25">
      <c r="C8" s="5"/>
      <c r="D8" s="6"/>
      <c r="E8" s="7"/>
      <c r="F8" s="7"/>
      <c r="G8" s="7"/>
      <c r="H8" s="7"/>
      <c r="I8" s="7"/>
      <c r="J8" s="7"/>
      <c r="K8" s="8"/>
      <c r="L8" s="9"/>
      <c r="M8" s="4"/>
    </row>
    <row r="9" spans="3:13" ht="15.75">
      <c r="C9" s="5"/>
      <c r="D9" s="6"/>
      <c r="E9" s="7"/>
      <c r="F9" s="7"/>
      <c r="G9" s="7"/>
      <c r="H9" s="7"/>
      <c r="I9" s="7"/>
      <c r="J9" s="7"/>
      <c r="K9" s="8"/>
      <c r="L9" s="9"/>
      <c r="M9" s="4"/>
    </row>
    <row r="10" spans="3:13" ht="15.75">
      <c r="C10" s="10" t="s">
        <v>3</v>
      </c>
      <c r="D10" s="11"/>
      <c r="E10" s="12" t="s">
        <v>4</v>
      </c>
      <c r="F10" s="12"/>
      <c r="G10" s="6"/>
      <c r="H10" s="10" t="s">
        <v>5</v>
      </c>
      <c r="I10" s="11"/>
      <c r="J10" s="13">
        <f>VLOOKUP(E10,SEM2,12)</f>
      </c>
      <c r="K10" s="13"/>
      <c r="L10" s="9"/>
      <c r="M10" s="4"/>
    </row>
    <row r="11" spans="3:13" ht="15.75">
      <c r="C11" s="10" t="s">
        <v>6</v>
      </c>
      <c r="D11" s="11"/>
      <c r="E11" s="12" t="str">
        <f>UPPER(VLOOKUP(E10,SEM1,2))</f>
        <v>SAMUEL</v>
      </c>
      <c r="F11" s="12"/>
      <c r="G11" s="7"/>
      <c r="H11" s="10" t="s">
        <v>7</v>
      </c>
      <c r="I11" s="11"/>
      <c r="J11" s="13">
        <f>VLOOKUP(E10,SEM2,13)</f>
        <v>200</v>
      </c>
      <c r="K11" s="13"/>
      <c r="L11" s="9"/>
      <c r="M11" s="4"/>
    </row>
    <row r="12" spans="3:13" ht="15.75">
      <c r="C12" s="10" t="s">
        <v>8</v>
      </c>
      <c r="D12" s="11"/>
      <c r="E12" s="12" t="str">
        <f>VLOOKUP(E10,SEM1,6)</f>
        <v>MATUTINO</v>
      </c>
      <c r="F12" s="12"/>
      <c r="G12" s="7"/>
      <c r="H12" s="10" t="s">
        <v>9</v>
      </c>
      <c r="I12" s="11"/>
      <c r="J12" s="13">
        <f>VLOOKUP(E10,SEM2,14)</f>
        <v>3087</v>
      </c>
      <c r="K12" s="13"/>
      <c r="L12" s="9"/>
      <c r="M12" s="4"/>
    </row>
    <row r="13" spans="3:13" ht="15.75">
      <c r="C13" s="10" t="s">
        <v>10</v>
      </c>
      <c r="D13" s="11"/>
      <c r="E13" s="14" t="str">
        <f>UPPER(VLOOKUP(E10,SEM1,9))</f>
        <v>1176</v>
      </c>
      <c r="F13" s="14"/>
      <c r="G13" s="7"/>
      <c r="H13" s="7"/>
      <c r="I13" s="7"/>
      <c r="J13" s="7"/>
      <c r="K13" s="8"/>
      <c r="L13" s="9"/>
      <c r="M13" s="4"/>
    </row>
    <row r="14" spans="3:13" ht="15.75">
      <c r="C14" s="10" t="s">
        <v>11</v>
      </c>
      <c r="D14" s="11"/>
      <c r="E14" s="13">
        <f>VLOOKUP(E10,SEM1,10)</f>
        <v>0</v>
      </c>
      <c r="F14" s="13"/>
      <c r="G14" s="7"/>
      <c r="H14" s="10" t="s">
        <v>12</v>
      </c>
      <c r="I14" s="11"/>
      <c r="J14" s="15">
        <f>VLOOKUP(E10,SEM2,8)</f>
        <v>77.17500000000001</v>
      </c>
      <c r="K14" s="15"/>
      <c r="L14" s="9"/>
      <c r="M14" s="4"/>
    </row>
    <row r="15" spans="3:13" ht="15.75">
      <c r="C15" s="10" t="s">
        <v>13</v>
      </c>
      <c r="D15" s="11"/>
      <c r="E15" s="13">
        <f>VLOOKUP(E10,SEM2,4)</f>
        <v>1298.5</v>
      </c>
      <c r="F15" s="13"/>
      <c r="G15" s="7"/>
      <c r="H15" s="7"/>
      <c r="I15" s="7"/>
      <c r="J15" s="7"/>
      <c r="K15" s="8"/>
      <c r="L15" s="9"/>
      <c r="M15" s="4"/>
    </row>
    <row r="16" spans="3:13" ht="15.75">
      <c r="C16" s="10" t="s">
        <v>14</v>
      </c>
      <c r="D16" s="11"/>
      <c r="E16" s="13">
        <f>VLOOKUP(E10,SEM2,5)</f>
        <v>245</v>
      </c>
      <c r="F16" s="13"/>
      <c r="G16" s="7"/>
      <c r="H16" s="7"/>
      <c r="I16" s="7"/>
      <c r="J16" s="7"/>
      <c r="K16" s="8"/>
      <c r="L16" s="9"/>
      <c r="M16" s="4"/>
    </row>
    <row r="17" spans="3:13" ht="15.75">
      <c r="C17" s="5"/>
      <c r="D17" s="6"/>
      <c r="E17" s="16" t="s">
        <v>15</v>
      </c>
      <c r="F17" s="17">
        <f>E13+E14+E15+E16</f>
        <v>2719.5</v>
      </c>
      <c r="G17" s="7"/>
      <c r="H17" s="10" t="s">
        <v>15</v>
      </c>
      <c r="I17" s="11"/>
      <c r="J17" s="18">
        <v>6206.5</v>
      </c>
      <c r="K17" s="18"/>
      <c r="L17" s="9"/>
      <c r="M17" s="4"/>
    </row>
    <row r="18" spans="3:13" ht="15.75">
      <c r="C18" s="5"/>
      <c r="D18" s="6"/>
      <c r="E18" s="7"/>
      <c r="F18" s="7"/>
      <c r="G18" s="7"/>
      <c r="H18" s="10" t="s">
        <v>16</v>
      </c>
      <c r="I18" s="11"/>
      <c r="J18" s="18">
        <v>77.17500000000001</v>
      </c>
      <c r="K18" s="18"/>
      <c r="L18" s="9"/>
      <c r="M18" s="4"/>
    </row>
    <row r="19" spans="3:13" ht="15.75">
      <c r="C19" s="5"/>
      <c r="D19" s="6"/>
      <c r="E19" s="7"/>
      <c r="F19" s="7"/>
      <c r="G19" s="7"/>
      <c r="H19" s="10" t="s">
        <v>17</v>
      </c>
      <c r="I19" s="11"/>
      <c r="J19" s="15">
        <f>J17+J18</f>
        <v>6283.675</v>
      </c>
      <c r="K19" s="15"/>
      <c r="L19" s="9"/>
      <c r="M19" s="4"/>
    </row>
    <row r="20" spans="3:13" ht="15.75">
      <c r="C20" s="5"/>
      <c r="D20" s="6"/>
      <c r="E20" s="7"/>
      <c r="F20" s="7"/>
      <c r="G20" s="7"/>
      <c r="H20" s="7"/>
      <c r="I20" s="7"/>
      <c r="J20" s="7"/>
      <c r="K20" s="8"/>
      <c r="L20" s="9"/>
      <c r="M20" s="4"/>
    </row>
    <row r="21" spans="3:13" ht="15.75">
      <c r="C21" s="19"/>
      <c r="D21" s="20"/>
      <c r="E21" s="21"/>
      <c r="F21" s="21"/>
      <c r="G21" s="21"/>
      <c r="H21" s="21"/>
      <c r="I21" s="21"/>
      <c r="J21" s="21"/>
      <c r="K21" s="20"/>
      <c r="L21" s="22"/>
      <c r="M21" s="4"/>
    </row>
  </sheetData>
  <sheetProtection selectLockedCells="1" selectUnlockedCells="1"/>
  <mergeCells count="14">
    <mergeCell ref="E10:F10"/>
    <mergeCell ref="J10:K10"/>
    <mergeCell ref="E11:F11"/>
    <mergeCell ref="J11:K11"/>
    <mergeCell ref="E12:F12"/>
    <mergeCell ref="J12:K12"/>
    <mergeCell ref="E13:F13"/>
    <mergeCell ref="E14:F14"/>
    <mergeCell ref="J14:K14"/>
    <mergeCell ref="E15:F15"/>
    <mergeCell ref="E16:F16"/>
    <mergeCell ref="J17:K17"/>
    <mergeCell ref="J18:K18"/>
    <mergeCell ref="J19:K1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0"/>
  <sheetViews>
    <sheetView zoomScaleSheetLayoutView="10" workbookViewId="0" topLeftCell="D1">
      <selection activeCell="N13" sqref="N13"/>
    </sheetView>
  </sheetViews>
  <sheetFormatPr defaultColWidth="11.421875" defaultRowHeight="12.75"/>
  <cols>
    <col min="1" max="1" width="11.421875" style="23" customWidth="1"/>
    <col min="2" max="2" width="12.28125" style="23" customWidth="1"/>
    <col min="3" max="3" width="13.7109375" style="23" customWidth="1"/>
    <col min="4" max="5" width="11.421875" style="23" customWidth="1"/>
    <col min="6" max="6" width="19.140625" style="23" customWidth="1"/>
    <col min="7" max="7" width="13.8515625" style="23" customWidth="1"/>
    <col min="8" max="8" width="14.8515625" style="23" customWidth="1"/>
    <col min="9" max="9" width="14.421875" style="23" customWidth="1"/>
    <col min="10" max="10" width="12.28125" style="23" customWidth="1"/>
    <col min="11" max="11" width="14.8515625" style="23" customWidth="1"/>
    <col min="12" max="12" width="13.7109375" style="23" customWidth="1"/>
    <col min="13" max="13" width="15.28125" style="23" customWidth="1"/>
    <col min="14" max="16384" width="11.421875" style="23" customWidth="1"/>
  </cols>
  <sheetData>
    <row r="1" spans="2:14" ht="14.25">
      <c r="B1" s="24" t="s">
        <v>18</v>
      </c>
      <c r="C1" s="24" t="s">
        <v>19</v>
      </c>
      <c r="D1" s="24">
        <v>24.5</v>
      </c>
      <c r="F1" s="24" t="s">
        <v>20</v>
      </c>
      <c r="G1" s="24">
        <v>48</v>
      </c>
      <c r="I1" s="25" t="s">
        <v>21</v>
      </c>
      <c r="J1" s="25"/>
      <c r="L1" s="25" t="s">
        <v>5</v>
      </c>
      <c r="M1" s="25"/>
      <c r="N1" s="25"/>
    </row>
    <row r="2" spans="2:14" ht="14.25">
      <c r="B2" s="24" t="s">
        <v>22</v>
      </c>
      <c r="C2" s="24" t="s">
        <v>23</v>
      </c>
      <c r="D2" s="24">
        <v>27.4</v>
      </c>
      <c r="I2" s="26" t="s">
        <v>18</v>
      </c>
      <c r="J2" s="27">
        <v>0.025</v>
      </c>
      <c r="L2" s="26">
        <v>1</v>
      </c>
      <c r="M2" s="27" t="s">
        <v>24</v>
      </c>
      <c r="N2" s="28">
        <v>200</v>
      </c>
    </row>
    <row r="3" spans="2:14" ht="14.25">
      <c r="B3" s="24" t="s">
        <v>25</v>
      </c>
      <c r="C3" s="24" t="s">
        <v>26</v>
      </c>
      <c r="D3" s="24">
        <v>32.8</v>
      </c>
      <c r="I3" s="26" t="s">
        <v>22</v>
      </c>
      <c r="J3" s="27">
        <v>0.034</v>
      </c>
      <c r="L3" s="26">
        <v>2</v>
      </c>
      <c r="M3" s="27" t="s">
        <v>27</v>
      </c>
      <c r="N3" s="28">
        <v>100</v>
      </c>
    </row>
    <row r="4" spans="9:14" ht="14.25">
      <c r="I4" s="26" t="s">
        <v>25</v>
      </c>
      <c r="J4" s="27">
        <v>0.041</v>
      </c>
      <c r="L4" s="26">
        <v>3</v>
      </c>
      <c r="M4" s="27" t="s">
        <v>28</v>
      </c>
      <c r="N4" s="28">
        <v>0</v>
      </c>
    </row>
    <row r="6" spans="2:13" ht="25.5">
      <c r="B6" s="29" t="s">
        <v>29</v>
      </c>
      <c r="C6" s="29" t="s">
        <v>6</v>
      </c>
      <c r="D6" s="29" t="s">
        <v>30</v>
      </c>
      <c r="E6" s="29" t="s">
        <v>31</v>
      </c>
      <c r="F6" s="29" t="s">
        <v>32</v>
      </c>
      <c r="G6" s="29" t="s">
        <v>32</v>
      </c>
      <c r="H6" s="29" t="s">
        <v>33</v>
      </c>
      <c r="I6" s="29" t="s">
        <v>34</v>
      </c>
      <c r="J6" s="29" t="s">
        <v>35</v>
      </c>
      <c r="K6" s="29" t="s">
        <v>36</v>
      </c>
      <c r="L6" s="29" t="s">
        <v>37</v>
      </c>
      <c r="M6" s="30"/>
    </row>
    <row r="7" spans="2:12" ht="14.25">
      <c r="B7" s="31">
        <f aca="true" t="shared" si="0" ref="B7:B16">CONCATENATE(LEFT(C7,1),LEFT(D7,1),LEFT(E7,1))</f>
        <v>0</v>
      </c>
      <c r="C7" s="31" t="s">
        <v>38</v>
      </c>
      <c r="D7" s="31" t="s">
        <v>39</v>
      </c>
      <c r="E7" s="31" t="s">
        <v>40</v>
      </c>
      <c r="F7" s="32" t="s">
        <v>18</v>
      </c>
      <c r="G7" s="31">
        <f aca="true" t="shared" si="1" ref="G7:G16">IF(F7=B$1,"MATUTINO",IF(F7=B$2,"VESPERTINO","NOCTURNO"))</f>
        <v>0</v>
      </c>
      <c r="H7" s="32">
        <v>52</v>
      </c>
      <c r="I7" s="32">
        <f aca="true" t="shared" si="2" ref="I7:I16">IF(H7&gt;=G$1,H7-G$1,0)</f>
        <v>4</v>
      </c>
      <c r="J7" s="33">
        <f aca="true" t="shared" si="3" ref="J7:J16">IF(F7="A",H7*D$1,IF(F7="B",H7*D$2,H7*D$3))</f>
        <v>1274</v>
      </c>
      <c r="K7" s="34">
        <f aca="true" t="shared" si="4" ref="K7:K16">IF(F7="A",D$1*I7*2,IF(F7="B",I7*D$2*2,IF(F7="C",D$3*I7*2)))</f>
        <v>196</v>
      </c>
      <c r="L7" s="33">
        <f aca="true" t="shared" si="5" ref="L7:L16">J7+K7</f>
        <v>1470</v>
      </c>
    </row>
    <row r="8" spans="2:12" ht="14.25">
      <c r="B8" s="31">
        <f t="shared" si="0"/>
        <v>0</v>
      </c>
      <c r="C8" s="31" t="s">
        <v>41</v>
      </c>
      <c r="D8" s="31" t="s">
        <v>42</v>
      </c>
      <c r="E8" s="31" t="s">
        <v>43</v>
      </c>
      <c r="F8" s="32" t="s">
        <v>18</v>
      </c>
      <c r="G8" s="31">
        <f t="shared" si="1"/>
        <v>0</v>
      </c>
      <c r="H8" s="32">
        <v>48</v>
      </c>
      <c r="I8" s="32">
        <f t="shared" si="2"/>
        <v>0</v>
      </c>
      <c r="J8" s="33">
        <f t="shared" si="3"/>
        <v>1176</v>
      </c>
      <c r="K8" s="34">
        <f t="shared" si="4"/>
        <v>0</v>
      </c>
      <c r="L8" s="33">
        <f t="shared" si="5"/>
        <v>1176</v>
      </c>
    </row>
    <row r="9" spans="2:12" ht="14.25">
      <c r="B9" s="31">
        <f t="shared" si="0"/>
        <v>0</v>
      </c>
      <c r="C9" s="31" t="s">
        <v>44</v>
      </c>
      <c r="D9" s="31" t="s">
        <v>45</v>
      </c>
      <c r="E9" s="31" t="s">
        <v>46</v>
      </c>
      <c r="F9" s="32" t="s">
        <v>25</v>
      </c>
      <c r="G9" s="31">
        <f t="shared" si="1"/>
        <v>0</v>
      </c>
      <c r="H9" s="32">
        <v>45</v>
      </c>
      <c r="I9" s="32">
        <f t="shared" si="2"/>
        <v>0</v>
      </c>
      <c r="J9" s="33">
        <f t="shared" si="3"/>
        <v>1475.9999999999998</v>
      </c>
      <c r="K9" s="34">
        <f t="shared" si="4"/>
        <v>0</v>
      </c>
      <c r="L9" s="33">
        <f t="shared" si="5"/>
        <v>1475.9999999999998</v>
      </c>
    </row>
    <row r="10" spans="2:12" ht="14.25">
      <c r="B10" s="31">
        <f t="shared" si="0"/>
        <v>0</v>
      </c>
      <c r="C10" s="31" t="s">
        <v>47</v>
      </c>
      <c r="D10" s="31" t="s">
        <v>48</v>
      </c>
      <c r="E10" s="31" t="s">
        <v>49</v>
      </c>
      <c r="F10" s="32" t="s">
        <v>25</v>
      </c>
      <c r="G10" s="31">
        <f t="shared" si="1"/>
        <v>0</v>
      </c>
      <c r="H10" s="32">
        <v>40</v>
      </c>
      <c r="I10" s="32">
        <f t="shared" si="2"/>
        <v>0</v>
      </c>
      <c r="J10" s="33">
        <f t="shared" si="3"/>
        <v>1312</v>
      </c>
      <c r="K10" s="34">
        <f t="shared" si="4"/>
        <v>0</v>
      </c>
      <c r="L10" s="33">
        <f t="shared" si="5"/>
        <v>1312</v>
      </c>
    </row>
    <row r="11" spans="2:12" ht="14.25">
      <c r="B11" s="31">
        <f t="shared" si="0"/>
        <v>0</v>
      </c>
      <c r="C11" s="31" t="s">
        <v>50</v>
      </c>
      <c r="D11" s="31" t="s">
        <v>51</v>
      </c>
      <c r="E11" s="31" t="s">
        <v>42</v>
      </c>
      <c r="F11" s="32" t="s">
        <v>22</v>
      </c>
      <c r="G11" s="31">
        <f t="shared" si="1"/>
        <v>0</v>
      </c>
      <c r="H11" s="32">
        <v>50</v>
      </c>
      <c r="I11" s="32">
        <f t="shared" si="2"/>
        <v>2</v>
      </c>
      <c r="J11" s="33">
        <f t="shared" si="3"/>
        <v>1370</v>
      </c>
      <c r="K11" s="34">
        <f t="shared" si="4"/>
        <v>109.6</v>
      </c>
      <c r="L11" s="33">
        <f t="shared" si="5"/>
        <v>1479.6</v>
      </c>
    </row>
    <row r="12" spans="2:12" ht="14.25">
      <c r="B12" s="31">
        <f t="shared" si="0"/>
        <v>0</v>
      </c>
      <c r="C12" s="31" t="s">
        <v>52</v>
      </c>
      <c r="D12" s="31" t="s">
        <v>53</v>
      </c>
      <c r="E12" s="31" t="s">
        <v>54</v>
      </c>
      <c r="F12" s="32" t="s">
        <v>25</v>
      </c>
      <c r="G12" s="31">
        <f t="shared" si="1"/>
        <v>0</v>
      </c>
      <c r="H12" s="32">
        <v>49</v>
      </c>
      <c r="I12" s="32">
        <f t="shared" si="2"/>
        <v>1</v>
      </c>
      <c r="J12" s="33">
        <f t="shared" si="3"/>
        <v>1607.1999999999998</v>
      </c>
      <c r="K12" s="34">
        <f t="shared" si="4"/>
        <v>65.6</v>
      </c>
      <c r="L12" s="33">
        <f t="shared" si="5"/>
        <v>1672.7999999999997</v>
      </c>
    </row>
    <row r="13" spans="2:12" ht="14.25">
      <c r="B13" s="31">
        <f t="shared" si="0"/>
        <v>0</v>
      </c>
      <c r="C13" s="31" t="s">
        <v>55</v>
      </c>
      <c r="D13" s="31" t="s">
        <v>56</v>
      </c>
      <c r="E13" s="31" t="s">
        <v>57</v>
      </c>
      <c r="F13" s="32" t="s">
        <v>18</v>
      </c>
      <c r="G13" s="31">
        <f t="shared" si="1"/>
        <v>0</v>
      </c>
      <c r="H13" s="32">
        <v>54</v>
      </c>
      <c r="I13" s="32">
        <f t="shared" si="2"/>
        <v>6</v>
      </c>
      <c r="J13" s="33">
        <f t="shared" si="3"/>
        <v>1323</v>
      </c>
      <c r="K13" s="34">
        <f t="shared" si="4"/>
        <v>294</v>
      </c>
      <c r="L13" s="33">
        <f t="shared" si="5"/>
        <v>1617</v>
      </c>
    </row>
    <row r="14" spans="2:12" ht="14.25">
      <c r="B14" s="31">
        <f t="shared" si="0"/>
        <v>0</v>
      </c>
      <c r="C14" s="31" t="s">
        <v>58</v>
      </c>
      <c r="D14" s="31" t="s">
        <v>59</v>
      </c>
      <c r="E14" s="31" t="s">
        <v>60</v>
      </c>
      <c r="F14" s="32" t="s">
        <v>22</v>
      </c>
      <c r="G14" s="31">
        <f t="shared" si="1"/>
        <v>0</v>
      </c>
      <c r="H14" s="32">
        <v>48</v>
      </c>
      <c r="I14" s="32">
        <f t="shared" si="2"/>
        <v>0</v>
      </c>
      <c r="J14" s="33">
        <f t="shared" si="3"/>
        <v>1315.1999999999998</v>
      </c>
      <c r="K14" s="34">
        <f t="shared" si="4"/>
        <v>0</v>
      </c>
      <c r="L14" s="33">
        <f t="shared" si="5"/>
        <v>1315.1999999999998</v>
      </c>
    </row>
    <row r="15" spans="2:12" ht="14.25">
      <c r="B15" s="31">
        <f t="shared" si="0"/>
        <v>0</v>
      </c>
      <c r="C15" s="31" t="s">
        <v>61</v>
      </c>
      <c r="D15" s="31" t="s">
        <v>62</v>
      </c>
      <c r="E15" s="31" t="s">
        <v>63</v>
      </c>
      <c r="F15" s="32" t="s">
        <v>22</v>
      </c>
      <c r="G15" s="31">
        <f t="shared" si="1"/>
        <v>0</v>
      </c>
      <c r="H15" s="32">
        <v>60</v>
      </c>
      <c r="I15" s="32">
        <f t="shared" si="2"/>
        <v>12</v>
      </c>
      <c r="J15" s="33">
        <f t="shared" si="3"/>
        <v>1644</v>
      </c>
      <c r="K15" s="34">
        <f t="shared" si="4"/>
        <v>657.5999999999999</v>
      </c>
      <c r="L15" s="33">
        <f t="shared" si="5"/>
        <v>2301.6</v>
      </c>
    </row>
    <row r="16" spans="2:12" ht="14.25">
      <c r="B16" s="31">
        <f t="shared" si="0"/>
        <v>0</v>
      </c>
      <c r="C16" s="31" t="s">
        <v>64</v>
      </c>
      <c r="D16" s="31" t="s">
        <v>65</v>
      </c>
      <c r="E16" s="31" t="s">
        <v>42</v>
      </c>
      <c r="F16" s="32" t="s">
        <v>25</v>
      </c>
      <c r="G16" s="31">
        <f t="shared" si="1"/>
        <v>0</v>
      </c>
      <c r="H16" s="32">
        <v>51</v>
      </c>
      <c r="I16" s="32">
        <f t="shared" si="2"/>
        <v>3</v>
      </c>
      <c r="J16" s="33">
        <f t="shared" si="3"/>
        <v>1672.8</v>
      </c>
      <c r="K16" s="34">
        <f t="shared" si="4"/>
        <v>196.79999999999998</v>
      </c>
      <c r="L16" s="33">
        <f t="shared" si="5"/>
        <v>1869.6</v>
      </c>
    </row>
    <row r="17" ht="12.75">
      <c r="J17" s="35"/>
    </row>
    <row r="18" spans="2:17" ht="38.25">
      <c r="B18" s="29" t="s">
        <v>66</v>
      </c>
      <c r="C18" s="29" t="s">
        <v>33</v>
      </c>
      <c r="D18" s="29" t="s">
        <v>34</v>
      </c>
      <c r="E18" s="29" t="s">
        <v>35</v>
      </c>
      <c r="F18" s="29" t="s">
        <v>36</v>
      </c>
      <c r="G18" s="29" t="s">
        <v>37</v>
      </c>
      <c r="H18" s="29" t="s">
        <v>67</v>
      </c>
      <c r="I18" s="29" t="s">
        <v>68</v>
      </c>
      <c r="J18" s="29" t="s">
        <v>69</v>
      </c>
      <c r="K18" s="29" t="s">
        <v>7</v>
      </c>
      <c r="L18" s="29" t="s">
        <v>5</v>
      </c>
      <c r="M18" s="29" t="s">
        <v>5</v>
      </c>
      <c r="N18" s="29" t="s">
        <v>70</v>
      </c>
      <c r="O18" s="29" t="s">
        <v>71</v>
      </c>
      <c r="P18" s="29" t="s">
        <v>72</v>
      </c>
      <c r="Q18" s="30"/>
    </row>
    <row r="19" spans="2:16" ht="14.25">
      <c r="B19" s="31" t="s">
        <v>73</v>
      </c>
      <c r="C19" s="32">
        <v>49</v>
      </c>
      <c r="D19" s="31">
        <f aca="true" t="shared" si="6" ref="D19:D28">IF(C19&gt;=G$1,C19-G$1,0)</f>
        <v>1</v>
      </c>
      <c r="E19" s="33">
        <f aca="true" t="shared" si="7" ref="E19:E28">IF(F7="A",D$1*C19,IF(F7="B",D$2*C19,D$3*C19))</f>
        <v>1200.5</v>
      </c>
      <c r="F19" s="34">
        <f aca="true" t="shared" si="8" ref="F19:F28">IF(F7="A",D$1*D19*2,IF(F7="B",D$2*2*D19,D$3*2*D19))</f>
        <v>49</v>
      </c>
      <c r="G19" s="33">
        <f aca="true" t="shared" si="9" ref="G19:G28">E19+F19</f>
        <v>1249.5</v>
      </c>
      <c r="H19" s="33">
        <f aca="true" t="shared" si="10" ref="H19:H28">G19*2</f>
        <v>2499</v>
      </c>
      <c r="I19" s="33">
        <f aca="true" t="shared" si="11" ref="I19:I28">IF(F7="A",H19*J$2,IF(F7="B",H19*J$3,H19*J$4))</f>
        <v>62.475</v>
      </c>
      <c r="J19" s="33">
        <f aca="true" t="shared" si="12" ref="J19:J28">H19-I19</f>
        <v>2436.525</v>
      </c>
      <c r="K19" s="32" t="s">
        <v>74</v>
      </c>
      <c r="L19" s="32">
        <v>1</v>
      </c>
      <c r="M19" s="32">
        <f aca="true" t="shared" si="13" ref="M19:M28">IF(L19=L$2,200,IF(L19=L$3,100,0))</f>
        <v>200</v>
      </c>
      <c r="N19" s="34">
        <f aca="true" t="shared" si="14" ref="N19:N28">IF(L19=L$2,N$2,IF(L19=L$3,N$3,0))</f>
        <v>200</v>
      </c>
      <c r="O19" s="34">
        <f aca="true" t="shared" si="15" ref="O19:O28">IF(K19="SI",G19*2,0)</f>
        <v>2499</v>
      </c>
      <c r="P19" s="33">
        <f aca="true" t="shared" si="16" ref="P19:P28">N19+O19+J19</f>
        <v>5135.525</v>
      </c>
    </row>
    <row r="20" spans="2:16" ht="14.25">
      <c r="B20" s="31" t="s">
        <v>4</v>
      </c>
      <c r="C20" s="32">
        <v>53</v>
      </c>
      <c r="D20" s="31">
        <f t="shared" si="6"/>
        <v>5</v>
      </c>
      <c r="E20" s="33">
        <f t="shared" si="7"/>
        <v>1298.5</v>
      </c>
      <c r="F20" s="34">
        <f t="shared" si="8"/>
        <v>245</v>
      </c>
      <c r="G20" s="33">
        <f t="shared" si="9"/>
        <v>1543.5</v>
      </c>
      <c r="H20" s="33">
        <f t="shared" si="10"/>
        <v>3087</v>
      </c>
      <c r="I20" s="33">
        <f t="shared" si="11"/>
        <v>77.17500000000001</v>
      </c>
      <c r="J20" s="33">
        <f t="shared" si="12"/>
        <v>3009.825</v>
      </c>
      <c r="K20" s="32" t="s">
        <v>74</v>
      </c>
      <c r="L20" s="32">
        <v>1</v>
      </c>
      <c r="M20" s="32">
        <f t="shared" si="13"/>
        <v>200</v>
      </c>
      <c r="N20" s="34">
        <f t="shared" si="14"/>
        <v>200</v>
      </c>
      <c r="O20" s="34">
        <f t="shared" si="15"/>
        <v>3087</v>
      </c>
      <c r="P20" s="33">
        <f t="shared" si="16"/>
        <v>6296.825</v>
      </c>
    </row>
    <row r="21" spans="2:16" ht="14.25">
      <c r="B21" s="31" t="s">
        <v>75</v>
      </c>
      <c r="C21" s="32">
        <v>48</v>
      </c>
      <c r="D21" s="31">
        <f t="shared" si="6"/>
        <v>0</v>
      </c>
      <c r="E21" s="33">
        <f t="shared" si="7"/>
        <v>1574.3999999999999</v>
      </c>
      <c r="F21" s="34">
        <f t="shared" si="8"/>
        <v>0</v>
      </c>
      <c r="G21" s="33">
        <f t="shared" si="9"/>
        <v>1574.3999999999999</v>
      </c>
      <c r="H21" s="33">
        <f t="shared" si="10"/>
        <v>3148.7999999999997</v>
      </c>
      <c r="I21" s="33">
        <f t="shared" si="11"/>
        <v>129.1008</v>
      </c>
      <c r="J21" s="33">
        <f t="shared" si="12"/>
        <v>3019.6991999999996</v>
      </c>
      <c r="K21" s="32" t="s">
        <v>76</v>
      </c>
      <c r="L21" s="32">
        <v>3</v>
      </c>
      <c r="M21" s="32">
        <f t="shared" si="13"/>
        <v>0</v>
      </c>
      <c r="N21" s="34">
        <f t="shared" si="14"/>
        <v>0</v>
      </c>
      <c r="O21" s="34">
        <f t="shared" si="15"/>
        <v>0</v>
      </c>
      <c r="P21" s="33">
        <f t="shared" si="16"/>
        <v>3019.6991999999996</v>
      </c>
    </row>
    <row r="22" spans="2:16" ht="14.25">
      <c r="B22" s="31" t="s">
        <v>77</v>
      </c>
      <c r="C22" s="32">
        <v>56</v>
      </c>
      <c r="D22" s="31">
        <f t="shared" si="6"/>
        <v>8</v>
      </c>
      <c r="E22" s="33">
        <f t="shared" si="7"/>
        <v>1836.7999999999997</v>
      </c>
      <c r="F22" s="34">
        <f t="shared" si="8"/>
        <v>524.8</v>
      </c>
      <c r="G22" s="33">
        <f t="shared" si="9"/>
        <v>2361.5999999999995</v>
      </c>
      <c r="H22" s="33">
        <f t="shared" si="10"/>
        <v>4723.199999999999</v>
      </c>
      <c r="I22" s="33">
        <f t="shared" si="11"/>
        <v>193.65119999999996</v>
      </c>
      <c r="J22" s="33">
        <f t="shared" si="12"/>
        <v>4529.548799999999</v>
      </c>
      <c r="K22" s="32" t="s">
        <v>76</v>
      </c>
      <c r="L22" s="32">
        <v>1</v>
      </c>
      <c r="M22" s="32">
        <f t="shared" si="13"/>
        <v>200</v>
      </c>
      <c r="N22" s="34">
        <f t="shared" si="14"/>
        <v>200</v>
      </c>
      <c r="O22" s="34">
        <f t="shared" si="15"/>
        <v>0</v>
      </c>
      <c r="P22" s="33">
        <f t="shared" si="16"/>
        <v>4729.548799999999</v>
      </c>
    </row>
    <row r="23" spans="2:16" ht="14.25">
      <c r="B23" s="31" t="s">
        <v>78</v>
      </c>
      <c r="C23" s="32">
        <v>45</v>
      </c>
      <c r="D23" s="31">
        <f t="shared" si="6"/>
        <v>0</v>
      </c>
      <c r="E23" s="33">
        <f t="shared" si="7"/>
        <v>1233</v>
      </c>
      <c r="F23" s="34">
        <f t="shared" si="8"/>
        <v>0</v>
      </c>
      <c r="G23" s="33">
        <f t="shared" si="9"/>
        <v>1233</v>
      </c>
      <c r="H23" s="33">
        <f t="shared" si="10"/>
        <v>2466</v>
      </c>
      <c r="I23" s="33">
        <f t="shared" si="11"/>
        <v>83.84400000000001</v>
      </c>
      <c r="J23" s="33">
        <f t="shared" si="12"/>
        <v>2382.156</v>
      </c>
      <c r="K23" s="32" t="s">
        <v>76</v>
      </c>
      <c r="L23" s="32">
        <v>3</v>
      </c>
      <c r="M23" s="32">
        <f t="shared" si="13"/>
        <v>0</v>
      </c>
      <c r="N23" s="34">
        <f t="shared" si="14"/>
        <v>0</v>
      </c>
      <c r="O23" s="34">
        <f t="shared" si="15"/>
        <v>0</v>
      </c>
      <c r="P23" s="33">
        <f t="shared" si="16"/>
        <v>2382.156</v>
      </c>
    </row>
    <row r="24" spans="2:16" ht="14.25">
      <c r="B24" s="31" t="s">
        <v>79</v>
      </c>
      <c r="C24" s="32">
        <v>42</v>
      </c>
      <c r="D24" s="31">
        <f t="shared" si="6"/>
        <v>0</v>
      </c>
      <c r="E24" s="33">
        <f t="shared" si="7"/>
        <v>1377.6</v>
      </c>
      <c r="F24" s="34">
        <f t="shared" si="8"/>
        <v>0</v>
      </c>
      <c r="G24" s="33">
        <f t="shared" si="9"/>
        <v>1377.6</v>
      </c>
      <c r="H24" s="33">
        <f t="shared" si="10"/>
        <v>2755.2</v>
      </c>
      <c r="I24" s="33">
        <f t="shared" si="11"/>
        <v>112.9632</v>
      </c>
      <c r="J24" s="33">
        <f t="shared" si="12"/>
        <v>2642.2367999999997</v>
      </c>
      <c r="K24" s="32" t="s">
        <v>74</v>
      </c>
      <c r="L24" s="32">
        <v>3</v>
      </c>
      <c r="M24" s="32">
        <f t="shared" si="13"/>
        <v>0</v>
      </c>
      <c r="N24" s="34">
        <f t="shared" si="14"/>
        <v>0</v>
      </c>
      <c r="O24" s="34">
        <f t="shared" si="15"/>
        <v>2755.2</v>
      </c>
      <c r="P24" s="33">
        <f t="shared" si="16"/>
        <v>5397.4367999999995</v>
      </c>
    </row>
    <row r="25" spans="2:16" ht="14.25">
      <c r="B25" s="31" t="s">
        <v>80</v>
      </c>
      <c r="C25" s="32">
        <v>48</v>
      </c>
      <c r="D25" s="31">
        <f t="shared" si="6"/>
        <v>0</v>
      </c>
      <c r="E25" s="33">
        <f t="shared" si="7"/>
        <v>1176</v>
      </c>
      <c r="F25" s="34">
        <f t="shared" si="8"/>
        <v>0</v>
      </c>
      <c r="G25" s="33">
        <f t="shared" si="9"/>
        <v>1176</v>
      </c>
      <c r="H25" s="33">
        <f t="shared" si="10"/>
        <v>2352</v>
      </c>
      <c r="I25" s="33">
        <f t="shared" si="11"/>
        <v>58.800000000000004</v>
      </c>
      <c r="J25" s="33">
        <f t="shared" si="12"/>
        <v>2293.2</v>
      </c>
      <c r="K25" s="32" t="s">
        <v>76</v>
      </c>
      <c r="L25" s="32">
        <v>2</v>
      </c>
      <c r="M25" s="32">
        <f t="shared" si="13"/>
        <v>100</v>
      </c>
      <c r="N25" s="34">
        <f t="shared" si="14"/>
        <v>100</v>
      </c>
      <c r="O25" s="34">
        <f t="shared" si="15"/>
        <v>0</v>
      </c>
      <c r="P25" s="33">
        <f t="shared" si="16"/>
        <v>2393.2</v>
      </c>
    </row>
    <row r="26" spans="2:16" ht="14.25">
      <c r="B26" s="31" t="s">
        <v>81</v>
      </c>
      <c r="C26" s="32">
        <v>55</v>
      </c>
      <c r="D26" s="31">
        <f t="shared" si="6"/>
        <v>7</v>
      </c>
      <c r="E26" s="33">
        <f t="shared" si="7"/>
        <v>1507</v>
      </c>
      <c r="F26" s="34">
        <f t="shared" si="8"/>
        <v>383.59999999999997</v>
      </c>
      <c r="G26" s="33">
        <f t="shared" si="9"/>
        <v>1890.6</v>
      </c>
      <c r="H26" s="33">
        <f t="shared" si="10"/>
        <v>3781.2</v>
      </c>
      <c r="I26" s="33">
        <f t="shared" si="11"/>
        <v>128.5608</v>
      </c>
      <c r="J26" s="33">
        <f t="shared" si="12"/>
        <v>3652.6391999999996</v>
      </c>
      <c r="K26" s="32" t="s">
        <v>74</v>
      </c>
      <c r="L26" s="32">
        <v>2</v>
      </c>
      <c r="M26" s="32">
        <f t="shared" si="13"/>
        <v>100</v>
      </c>
      <c r="N26" s="34">
        <f t="shared" si="14"/>
        <v>100</v>
      </c>
      <c r="O26" s="34">
        <f t="shared" si="15"/>
        <v>3781.2</v>
      </c>
      <c r="P26" s="33">
        <f t="shared" si="16"/>
        <v>7533.839199999999</v>
      </c>
    </row>
    <row r="27" spans="2:16" ht="14.25">
      <c r="B27" s="31" t="s">
        <v>82</v>
      </c>
      <c r="C27" s="32">
        <v>62</v>
      </c>
      <c r="D27" s="31">
        <f t="shared" si="6"/>
        <v>14</v>
      </c>
      <c r="E27" s="33">
        <f t="shared" si="7"/>
        <v>1698.8</v>
      </c>
      <c r="F27" s="34">
        <f t="shared" si="8"/>
        <v>767.1999999999999</v>
      </c>
      <c r="G27" s="33">
        <f t="shared" si="9"/>
        <v>2466</v>
      </c>
      <c r="H27" s="33">
        <f t="shared" si="10"/>
        <v>4932</v>
      </c>
      <c r="I27" s="33">
        <f t="shared" si="11"/>
        <v>167.68800000000002</v>
      </c>
      <c r="J27" s="33">
        <f t="shared" si="12"/>
        <v>4764.312</v>
      </c>
      <c r="K27" s="32" t="s">
        <v>76</v>
      </c>
      <c r="L27" s="32">
        <v>1</v>
      </c>
      <c r="M27" s="32">
        <f t="shared" si="13"/>
        <v>200</v>
      </c>
      <c r="N27" s="34">
        <f t="shared" si="14"/>
        <v>200</v>
      </c>
      <c r="O27" s="34">
        <f t="shared" si="15"/>
        <v>0</v>
      </c>
      <c r="P27" s="33">
        <f t="shared" si="16"/>
        <v>4964.312</v>
      </c>
    </row>
    <row r="28" spans="2:16" ht="14.25">
      <c r="B28" s="31" t="s">
        <v>83</v>
      </c>
      <c r="C28" s="32">
        <v>50</v>
      </c>
      <c r="D28" s="31">
        <f t="shared" si="6"/>
        <v>2</v>
      </c>
      <c r="E28" s="33">
        <f t="shared" si="7"/>
        <v>1639.9999999999998</v>
      </c>
      <c r="F28" s="34">
        <f t="shared" si="8"/>
        <v>131.2</v>
      </c>
      <c r="G28" s="33">
        <f t="shared" si="9"/>
        <v>1771.1999999999998</v>
      </c>
      <c r="H28" s="33">
        <f t="shared" si="10"/>
        <v>3542.3999999999996</v>
      </c>
      <c r="I28" s="33">
        <f t="shared" si="11"/>
        <v>145.23839999999998</v>
      </c>
      <c r="J28" s="33">
        <f t="shared" si="12"/>
        <v>3397.1615999999995</v>
      </c>
      <c r="K28" s="32" t="s">
        <v>74</v>
      </c>
      <c r="L28" s="32">
        <v>2</v>
      </c>
      <c r="M28" s="32">
        <f t="shared" si="13"/>
        <v>100</v>
      </c>
      <c r="N28" s="34">
        <f t="shared" si="14"/>
        <v>100</v>
      </c>
      <c r="O28" s="34">
        <f t="shared" si="15"/>
        <v>3542.3999999999996</v>
      </c>
      <c r="P28" s="33">
        <f t="shared" si="16"/>
        <v>7039.561599999999</v>
      </c>
    </row>
    <row r="29" ht="14.25"/>
    <row r="30" ht="14.25"/>
    <row r="31" ht="14.25"/>
    <row r="32" ht="14.25"/>
    <row r="40" ht="12.75">
      <c r="G40" s="23" t="s">
        <v>84</v>
      </c>
    </row>
  </sheetData>
  <sheetProtection selectLockedCells="1" selectUnlockedCells="1"/>
  <mergeCells count="2">
    <mergeCell ref="I1:J1"/>
    <mergeCell ref="L1:N1"/>
  </mergeCells>
  <printOptions/>
  <pageMargins left="0.75" right="0.75" top="1" bottom="1" header="0" footer="0"/>
  <pageSetup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GUADALAJARA</dc:creator>
  <cp:keywords/>
  <dc:description/>
  <cp:lastModifiedBy/>
  <dcterms:created xsi:type="dcterms:W3CDTF">2004-06-01T13:10:32Z</dcterms:created>
  <dcterms:modified xsi:type="dcterms:W3CDTF">2017-05-05T14:24:04Z</dcterms:modified>
  <cp:category/>
  <cp:version/>
  <cp:contentType/>
  <cp:contentStatus/>
  <cp:revision>9</cp:revision>
</cp:coreProperties>
</file>