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6.jpeg" ContentType="image/jpeg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1"/>
  </bookViews>
  <sheets>
    <sheet name="Hoja1" sheetId="1" state="visible" r:id="rId2"/>
    <sheet name="Hoja2" sheetId="2" state="visible" r:id="rId3"/>
  </sheets>
  <definedNames>
    <definedName function="false" hidden="false" name="sem1" vbProcedure="false">Hoja1!$B$6:$L$16</definedName>
    <definedName function="false" hidden="false" name="sem2" vbProcedure="false">Hoja1!$B$18:$P$28</definedName>
    <definedName function="false" hidden="false" localSheetId="0" name="Excel_BuiltIn_Print_Area" vbProcedure="false">NA()</definedName>
    <definedName function="false" hidden="false" localSheetId="0" name="Excel_BuiltIn_Sheet_Title" vbProcedure="false">"Hoja1"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<sst xmlns="http://schemas.openxmlformats.org/spreadsheetml/2006/main" count="121" uniqueCount="87">
  <si>
    <t xml:space="preserve">A</t>
  </si>
  <si>
    <t xml:space="preserve">MATUTINO</t>
  </si>
  <si>
    <t xml:space="preserve">JORNADA LABORAL </t>
  </si>
  <si>
    <t xml:space="preserve">IMPUESTO QUINCENAL</t>
  </si>
  <si>
    <t xml:space="preserve">DESEMPEÑO</t>
  </si>
  <si>
    <t xml:space="preserve">B</t>
  </si>
  <si>
    <t xml:space="preserve">VESPERTINO</t>
  </si>
  <si>
    <t xml:space="preserve">BUENO</t>
  </si>
  <si>
    <t xml:space="preserve">C</t>
  </si>
  <si>
    <t xml:space="preserve">NOCTURNO</t>
  </si>
  <si>
    <t xml:space="preserve">REGULAR</t>
  </si>
  <si>
    <t xml:space="preserve">MALO</t>
  </si>
  <si>
    <t xml:space="preserve">N. PLAZA</t>
  </si>
  <si>
    <t xml:space="preserve">NOMBRE</t>
  </si>
  <si>
    <t xml:space="preserve">AP. PATERNO</t>
  </si>
  <si>
    <t xml:space="preserve">AP. MATERNO</t>
  </si>
  <si>
    <t xml:space="preserve">HORARIO</t>
  </si>
  <si>
    <t xml:space="preserve">HORAS TRABAJADAS</t>
  </si>
  <si>
    <t xml:space="preserve">EXTRAS</t>
  </si>
  <si>
    <t xml:space="preserve">PAGO SEMANAL</t>
  </si>
  <si>
    <t xml:space="preserve">PAGO HORAS EXTRAS</t>
  </si>
  <si>
    <t xml:space="preserve">PAGO TOTAL SEMANAL</t>
  </si>
  <si>
    <t xml:space="preserve">Irma Ivette</t>
  </si>
  <si>
    <t xml:space="preserve">Muñoz</t>
  </si>
  <si>
    <t xml:space="preserve">Ramírez</t>
  </si>
  <si>
    <t xml:space="preserve">Samuel</t>
  </si>
  <si>
    <t xml:space="preserve">Díaz</t>
  </si>
  <si>
    <t xml:space="preserve">Amezquita</t>
  </si>
  <si>
    <t xml:space="preserve">Aurora</t>
  </si>
  <si>
    <t xml:space="preserve">Pont</t>
  </si>
  <si>
    <t xml:space="preserve">Guerra</t>
  </si>
  <si>
    <t xml:space="preserve">David</t>
  </si>
  <si>
    <t xml:space="preserve">Gutiérrez</t>
  </si>
  <si>
    <t xml:space="preserve">Ponce</t>
  </si>
  <si>
    <t xml:space="preserve">Mauricio</t>
  </si>
  <si>
    <t xml:space="preserve">Juárez</t>
  </si>
  <si>
    <t xml:space="preserve">Yolanda</t>
  </si>
  <si>
    <t xml:space="preserve">Serrano</t>
  </si>
  <si>
    <t xml:space="preserve">Suarez </t>
  </si>
  <si>
    <t xml:space="preserve">Andrea</t>
  </si>
  <si>
    <t xml:space="preserve">Mora</t>
  </si>
  <si>
    <t xml:space="preserve">Dávalos</t>
  </si>
  <si>
    <t xml:space="preserve">Miguel</t>
  </si>
  <si>
    <t xml:space="preserve">Borja</t>
  </si>
  <si>
    <t xml:space="preserve">Nuño</t>
  </si>
  <si>
    <t xml:space="preserve">Verónica</t>
  </si>
  <si>
    <t xml:space="preserve">Álvarez</t>
  </si>
  <si>
    <t xml:space="preserve">González</t>
  </si>
  <si>
    <t xml:space="preserve">Mario</t>
  </si>
  <si>
    <t xml:space="preserve">Ramos</t>
  </si>
  <si>
    <t xml:space="preserve">NO. PLAZA</t>
  </si>
  <si>
    <t xml:space="preserve">PAGO QUINCENAL S/IMP.</t>
  </si>
  <si>
    <t xml:space="preserve">IMPUESTO A PAGAR</t>
  </si>
  <si>
    <t xml:space="preserve">TOTAL QUINCENAL</t>
  </si>
  <si>
    <t xml:space="preserve">PUNTUALIDAD</t>
  </si>
  <si>
    <t xml:space="preserve">BONO 1</t>
  </si>
  <si>
    <t xml:space="preserve">BONO 2</t>
  </si>
  <si>
    <t xml:space="preserve">TOTAL FINAL</t>
  </si>
  <si>
    <t xml:space="preserve">IMR</t>
  </si>
  <si>
    <t xml:space="preserve">SI</t>
  </si>
  <si>
    <t xml:space="preserve">SDA</t>
  </si>
  <si>
    <t xml:space="preserve">APG</t>
  </si>
  <si>
    <t xml:space="preserve">NO</t>
  </si>
  <si>
    <t xml:space="preserve">DGP</t>
  </si>
  <si>
    <t xml:space="preserve">MJD</t>
  </si>
  <si>
    <t xml:space="preserve">YSS</t>
  </si>
  <si>
    <t xml:space="preserve">AMD</t>
  </si>
  <si>
    <t xml:space="preserve">MBN</t>
  </si>
  <si>
    <t xml:space="preserve">VÁG</t>
  </si>
  <si>
    <t xml:space="preserve">MRD</t>
  </si>
  <si>
    <t xml:space="preserve">&amp;</t>
  </si>
  <si>
    <t xml:space="preserve">PEPSI</t>
  </si>
  <si>
    <t xml:space="preserve">CALLE FELIZ No.45</t>
  </si>
  <si>
    <t xml:space="preserve">COL. HIGO</t>
  </si>
  <si>
    <t xml:space="preserve">Desempeño</t>
  </si>
  <si>
    <t xml:space="preserve">CLAVE</t>
  </si>
  <si>
    <t xml:space="preserve">puntualidad</t>
  </si>
  <si>
    <t xml:space="preserve">extra</t>
  </si>
  <si>
    <t xml:space="preserve">TURNO</t>
  </si>
  <si>
    <t xml:space="preserve">1°SEMANA</t>
  </si>
  <si>
    <t xml:space="preserve">HORAS EXTRAS 1°</t>
  </si>
  <si>
    <t xml:space="preserve">2°SEMANA</t>
  </si>
  <si>
    <t xml:space="preserve">HORAS EXTRAS 2°</t>
  </si>
  <si>
    <t xml:space="preserve">suma</t>
  </si>
  <si>
    <t xml:space="preserve">Retención imp.</t>
  </si>
  <si>
    <t xml:space="preserve">impuesto</t>
  </si>
  <si>
    <t xml:space="preserve"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</si>
</sst>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_-\$* #,##0.00_-;&quot;-$&quot;* #,##0.00_-;_-\$* \-??_-;_-@_-"/>
    <numFmt numFmtId="167" formatCode="_-&quot;$ &quot;* #,##0.00_-;&quot;-$ &quot;* #,##0.00_-;_-&quot;$ &quot;* \-??_-;_-@_-"/>
    <numFmt numFmtId="168" formatCode="[$$-80A]#,##0.00;[RED]\-[$$-80A]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CC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C0C0C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 diagonalUp="false" diagonalDown="false">
      <left style="thin">
        <color rgb="FF0000FF"/>
      </left>
      <right style="thin">
        <color rgb="FF0000FF"/>
      </right>
      <top/>
      <bottom/>
      <diagonal/>
    </border>
    <border diagonalUp="false" diagonalDown="false">
      <left style="thin">
        <color rgb="FF6666FF"/>
      </left>
      <right style="thin">
        <color rgb="FF6666FF"/>
      </right>
      <top style="thin">
        <color rgb="FF6666FF"/>
      </top>
      <bottom/>
      <diagonal/>
    </border>
    <border diagonalUp="false" diagonalDown="false">
      <left style="thin">
        <color rgb="FF3333FF"/>
      </left>
      <right style="thin">
        <color rgb="FF3333FF"/>
      </right>
      <top style="thin">
        <color rgb="FF3333FF"/>
      </top>
      <bottom style="thin">
        <color rgb="FF3333FF"/>
      </bottom>
      <diagonal/>
    </border>
    <border diagonalUp="false" diagonalDown="false">
      <left style="thin">
        <color rgb="FF6666FF"/>
      </left>
      <right style="thin">
        <color rgb="FF6666FF"/>
      </right>
      <top/>
      <bottom/>
      <diagonal/>
    </border>
    <border diagonalUp="false" diagonalDown="false">
      <left style="thin">
        <color rgb="FF6666FF"/>
      </left>
      <right style="thin">
        <color rgb="FF6666FF"/>
      </right>
      <top/>
      <bottom style="thin">
        <color rgb="FF6666FF"/>
      </bottom>
      <diagonal/>
    </border>
    <border diagonalUp="false" diagonalDown="false">
      <left style="thin">
        <color rgb="FF3333FF"/>
      </left>
      <right style="thin">
        <color rgb="FF3333FF"/>
      </right>
      <top style="thin">
        <color rgb="FF3333FF"/>
      </top>
      <bottom/>
      <diagonal/>
    </border>
    <border diagonalUp="false" diagonalDown="false">
      <left style="thin">
        <color rgb="FF3333FF"/>
      </left>
      <right style="thin">
        <color rgb="FF3333FF"/>
      </right>
      <top/>
      <bottom/>
      <diagonal/>
    </border>
    <border diagonalUp="false" diagonalDown="false">
      <left style="thin">
        <color rgb="FF3333FF"/>
      </left>
      <right style="thin">
        <color rgb="FF3333FF"/>
      </right>
      <top/>
      <bottom style="thin">
        <color rgb="FF3333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803160</xdr:colOff>
      <xdr:row>3</xdr:row>
      <xdr:rowOff>153000</xdr:rowOff>
    </xdr:from>
    <xdr:to>
      <xdr:col>4</xdr:col>
      <xdr:colOff>459360</xdr:colOff>
      <xdr:row>9</xdr:row>
      <xdr:rowOff>144000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428560" y="640440"/>
          <a:ext cx="1281960" cy="1080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40"/>
  <sheetViews>
    <sheetView windowProtection="false" showFormulas="false" showGridLines="true" showRowColHeaders="true" showZeros="true" rightToLeft="false" tabSelected="false" showOutlineSymbols="true" defaultGridColor="true" view="normal" topLeftCell="E10" colorId="64" zoomScale="100" zoomScaleNormal="100" zoomScalePageLayoutView="10" workbookViewId="0">
      <selection pane="topLeft" activeCell="M30" activeCellId="0" sqref="M30"/>
    </sheetView>
  </sheetViews>
  <sheetFormatPr defaultRowHeight="12.75"/>
  <cols>
    <col collapsed="false" hidden="false" max="1" min="1" style="1" width="11.4132653061224"/>
    <col collapsed="false" hidden="false" max="2" min="2" style="1" width="12.2755102040816"/>
    <col collapsed="false" hidden="false" max="3" min="3" style="1" width="13.6989795918367"/>
    <col collapsed="false" hidden="false" max="5" min="4" style="1" width="11.4132653061224"/>
    <col collapsed="false" hidden="false" max="6" min="6" style="1" width="19.1224489795918"/>
    <col collapsed="false" hidden="false" max="7" min="7" style="1" width="13.8418367346939"/>
    <col collapsed="false" hidden="false" max="8" min="8" style="1" width="14.8418367346939"/>
    <col collapsed="false" hidden="false" max="9" min="9" style="1" width="14.4081632653061"/>
    <col collapsed="false" hidden="false" max="10" min="10" style="1" width="12.2755102040816"/>
    <col collapsed="false" hidden="false" max="11" min="11" style="1" width="14.8418367346939"/>
    <col collapsed="false" hidden="false" max="12" min="12" style="1" width="13.6989795918367"/>
    <col collapsed="false" hidden="false" max="13" min="13" style="1" width="15.2704081632653"/>
    <col collapsed="false" hidden="false" max="257" min="14" style="1" width="11.4132653061224"/>
    <col collapsed="false" hidden="false" max="1025" min="258" style="0" width="11.4132653061224"/>
  </cols>
  <sheetData>
    <row r="1" customFormat="false" ht="14.6" hidden="false" customHeight="false" outlineLevel="0" collapsed="false">
      <c r="B1" s="2" t="s">
        <v>0</v>
      </c>
      <c r="C1" s="2" t="s">
        <v>1</v>
      </c>
      <c r="D1" s="2" t="n">
        <v>24.5</v>
      </c>
      <c r="F1" s="2" t="s">
        <v>2</v>
      </c>
      <c r="G1" s="2" t="n">
        <v>48</v>
      </c>
      <c r="I1" s="3" t="s">
        <v>3</v>
      </c>
      <c r="J1" s="3"/>
      <c r="L1" s="3" t="s">
        <v>4</v>
      </c>
      <c r="M1" s="3"/>
      <c r="N1" s="3"/>
    </row>
    <row r="2" customFormat="false" ht="14.6" hidden="false" customHeight="false" outlineLevel="0" collapsed="false">
      <c r="B2" s="2" t="s">
        <v>5</v>
      </c>
      <c r="C2" s="2" t="s">
        <v>6</v>
      </c>
      <c r="D2" s="2" t="n">
        <v>27.4</v>
      </c>
      <c r="I2" s="4" t="s">
        <v>0</v>
      </c>
      <c r="J2" s="5" t="n">
        <v>0.025</v>
      </c>
      <c r="L2" s="4" t="n">
        <v>1</v>
      </c>
      <c r="M2" s="5" t="s">
        <v>7</v>
      </c>
      <c r="N2" s="6" t="n">
        <v>200</v>
      </c>
    </row>
    <row r="3" customFormat="false" ht="14.6" hidden="false" customHeight="false" outlineLevel="0" collapsed="false">
      <c r="B3" s="2" t="s">
        <v>8</v>
      </c>
      <c r="C3" s="2" t="s">
        <v>9</v>
      </c>
      <c r="D3" s="2" t="n">
        <v>32.8</v>
      </c>
      <c r="I3" s="4" t="s">
        <v>5</v>
      </c>
      <c r="J3" s="5" t="n">
        <v>0.034</v>
      </c>
      <c r="L3" s="4" t="n">
        <v>2</v>
      </c>
      <c r="M3" s="5" t="s">
        <v>10</v>
      </c>
      <c r="N3" s="6" t="n">
        <v>100</v>
      </c>
    </row>
    <row r="4" customFormat="false" ht="14.6" hidden="false" customHeight="false" outlineLevel="0" collapsed="false">
      <c r="I4" s="4" t="s">
        <v>8</v>
      </c>
      <c r="J4" s="5" t="n">
        <v>0.041</v>
      </c>
      <c r="L4" s="4" t="n">
        <v>3</v>
      </c>
      <c r="M4" s="5" t="s">
        <v>11</v>
      </c>
      <c r="N4" s="6" t="n">
        <v>0</v>
      </c>
    </row>
    <row r="6" customFormat="false" ht="25.5" hidden="false" customHeight="false" outlineLevel="0" collapsed="false">
      <c r="B6" s="7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16</v>
      </c>
      <c r="H6" s="7" t="s">
        <v>17</v>
      </c>
      <c r="I6" s="7" t="s">
        <v>18</v>
      </c>
      <c r="J6" s="7" t="s">
        <v>19</v>
      </c>
      <c r="K6" s="7" t="s">
        <v>20</v>
      </c>
      <c r="L6" s="7" t="s">
        <v>21</v>
      </c>
      <c r="M6" s="8"/>
    </row>
    <row r="7" customFormat="false" ht="14.6" hidden="false" customHeight="false" outlineLevel="0" collapsed="false">
      <c r="B7" s="9" t="str">
        <f aca="false">CONCATENATE(LEFT(C7,1),LEFT(D7,1),LEFT(E7,1))</f>
        <v>IMR</v>
      </c>
      <c r="C7" s="9" t="s">
        <v>22</v>
      </c>
      <c r="D7" s="9" t="s">
        <v>23</v>
      </c>
      <c r="E7" s="9" t="s">
        <v>24</v>
      </c>
      <c r="F7" s="10" t="s">
        <v>0</v>
      </c>
      <c r="G7" s="9" t="str">
        <f aca="false">IF(F7=B$1,"MATUTINO",IF(F7=B$2,"VESPERTINO","NOCTURNO"))</f>
        <v>MATUTINO</v>
      </c>
      <c r="H7" s="10" t="n">
        <v>52</v>
      </c>
      <c r="I7" s="10" t="n">
        <f aca="false">IF(H7&gt;=G$1,H7-G$1,0)</f>
        <v>4</v>
      </c>
      <c r="J7" s="11" t="n">
        <f aca="false">IF(F7="A",H7*D$1,IF(F7="B",H7*D$2,H7*D$3))</f>
        <v>1274</v>
      </c>
      <c r="K7" s="12" t="n">
        <f aca="false">IF(F7="A",D$1*I7*2,IF(F7="B",I7*D$2*2,IF(F7="C",D$3*I7*2)))</f>
        <v>196</v>
      </c>
      <c r="L7" s="11" t="n">
        <f aca="false">J7+K7</f>
        <v>1470</v>
      </c>
    </row>
    <row r="8" customFormat="false" ht="14.6" hidden="false" customHeight="false" outlineLevel="0" collapsed="false">
      <c r="B8" s="9" t="str">
        <f aca="false">CONCATENATE(LEFT(C8,1),LEFT(D8,1),LEFT(E8,1))</f>
        <v>SDA</v>
      </c>
      <c r="C8" s="9" t="s">
        <v>25</v>
      </c>
      <c r="D8" s="9" t="s">
        <v>26</v>
      </c>
      <c r="E8" s="9" t="s">
        <v>27</v>
      </c>
      <c r="F8" s="10" t="s">
        <v>0</v>
      </c>
      <c r="G8" s="9" t="str">
        <f aca="false">IF(F8=B$1,"MATUTINO",IF(F8=B$2,"VESPERTINO","NOCTURNO"))</f>
        <v>MATUTINO</v>
      </c>
      <c r="H8" s="10" t="n">
        <v>48</v>
      </c>
      <c r="I8" s="10" t="n">
        <f aca="false">IF(H8&gt;=G$1,H8-G$1,0)</f>
        <v>0</v>
      </c>
      <c r="J8" s="11" t="n">
        <f aca="false">IF(F8="A",H8*D$1,IF(F8="B",H8*D$2,H8*D$3))</f>
        <v>1176</v>
      </c>
      <c r="K8" s="12" t="n">
        <f aca="false">IF(F8="A",D$1*I8*2,IF(F8="B",I8*D$2*2,IF(F8="C",D$3*I8*2)))</f>
        <v>0</v>
      </c>
      <c r="L8" s="11" t="n">
        <f aca="false">J8+K8</f>
        <v>1176</v>
      </c>
    </row>
    <row r="9" customFormat="false" ht="14.6" hidden="false" customHeight="false" outlineLevel="0" collapsed="false">
      <c r="B9" s="9" t="str">
        <f aca="false">CONCATENATE(LEFT(C9,1),LEFT(D9,1),LEFT(E9,1))</f>
        <v>APG</v>
      </c>
      <c r="C9" s="9" t="s">
        <v>28</v>
      </c>
      <c r="D9" s="9" t="s">
        <v>29</v>
      </c>
      <c r="E9" s="9" t="s">
        <v>30</v>
      </c>
      <c r="F9" s="10" t="s">
        <v>8</v>
      </c>
      <c r="G9" s="9" t="str">
        <f aca="false">IF(F9=B$1,"MATUTINO",IF(F9=B$2,"VESPERTINO","NOCTURNO"))</f>
        <v>NOCTURNO</v>
      </c>
      <c r="H9" s="10" t="n">
        <v>45</v>
      </c>
      <c r="I9" s="10" t="n">
        <f aca="false">IF(H9&gt;=G$1,H9-G$1,0)</f>
        <v>0</v>
      </c>
      <c r="J9" s="11" t="n">
        <f aca="false">IF(F9="A",H9*D$1,IF(F9="B",H9*D$2,H9*D$3))</f>
        <v>1476</v>
      </c>
      <c r="K9" s="12" t="n">
        <f aca="false">IF(F9="A",D$1*I9*2,IF(F9="B",I9*D$2*2,IF(F9="C",D$3*I9*2)))</f>
        <v>0</v>
      </c>
      <c r="L9" s="11" t="n">
        <f aca="false">J9+K9</f>
        <v>1476</v>
      </c>
    </row>
    <row r="10" customFormat="false" ht="14.6" hidden="false" customHeight="false" outlineLevel="0" collapsed="false">
      <c r="B10" s="9" t="str">
        <f aca="false">CONCATENATE(LEFT(C10,1),LEFT(D10,1),LEFT(E10,1))</f>
        <v>DGP</v>
      </c>
      <c r="C10" s="9" t="s">
        <v>31</v>
      </c>
      <c r="D10" s="9" t="s">
        <v>32</v>
      </c>
      <c r="E10" s="9" t="s">
        <v>33</v>
      </c>
      <c r="F10" s="10" t="s">
        <v>8</v>
      </c>
      <c r="G10" s="9" t="str">
        <f aca="false">IF(F10=B$1,"MATUTINO",IF(F10=B$2,"VESPERTINO","NOCTURNO"))</f>
        <v>NOCTURNO</v>
      </c>
      <c r="H10" s="10" t="n">
        <v>40</v>
      </c>
      <c r="I10" s="10" t="n">
        <f aca="false">IF(H10&gt;=G$1,H10-G$1,0)</f>
        <v>0</v>
      </c>
      <c r="J10" s="11" t="n">
        <f aca="false">IF(F10="A",H10*D$1,IF(F10="B",H10*D$2,H10*D$3))</f>
        <v>1312</v>
      </c>
      <c r="K10" s="12" t="n">
        <f aca="false">IF(F10="A",D$1*I10*2,IF(F10="B",I10*D$2*2,IF(F10="C",D$3*I10*2)))</f>
        <v>0</v>
      </c>
      <c r="L10" s="11" t="n">
        <f aca="false">J10+K10</f>
        <v>1312</v>
      </c>
    </row>
    <row r="11" customFormat="false" ht="14.6" hidden="false" customHeight="false" outlineLevel="0" collapsed="false">
      <c r="B11" s="9" t="str">
        <f aca="false">CONCATENATE(LEFT(C11,1),LEFT(D11,1),LEFT(E11,1))</f>
        <v>MJD</v>
      </c>
      <c r="C11" s="9" t="s">
        <v>34</v>
      </c>
      <c r="D11" s="9" t="s">
        <v>35</v>
      </c>
      <c r="E11" s="9" t="s">
        <v>26</v>
      </c>
      <c r="F11" s="10" t="s">
        <v>5</v>
      </c>
      <c r="G11" s="9" t="str">
        <f aca="false">IF(F11=B$1,"MATUTINO",IF(F11=B$2,"VESPERTINO","NOCTURNO"))</f>
        <v>VESPERTINO</v>
      </c>
      <c r="H11" s="10" t="n">
        <v>50</v>
      </c>
      <c r="I11" s="10" t="n">
        <f aca="false">IF(H11&gt;=G$1,H11-G$1,0)</f>
        <v>2</v>
      </c>
      <c r="J11" s="11" t="n">
        <f aca="false">IF(F11="A",H11*D$1,IF(F11="B",H11*D$2,H11*D$3))</f>
        <v>1370</v>
      </c>
      <c r="K11" s="12" t="n">
        <f aca="false">IF(F11="A",D$1*I11*2,IF(F11="B",I11*D$2*2,IF(F11="C",D$3*I11*2)))</f>
        <v>109.6</v>
      </c>
      <c r="L11" s="11" t="n">
        <f aca="false">J11+K11</f>
        <v>1479.6</v>
      </c>
    </row>
    <row r="12" customFormat="false" ht="14.6" hidden="false" customHeight="false" outlineLevel="0" collapsed="false">
      <c r="B12" s="9" t="str">
        <f aca="false">CONCATENATE(LEFT(C12,1),LEFT(D12,1),LEFT(E12,1))</f>
        <v>YSS</v>
      </c>
      <c r="C12" s="9" t="s">
        <v>36</v>
      </c>
      <c r="D12" s="9" t="s">
        <v>37</v>
      </c>
      <c r="E12" s="9" t="s">
        <v>38</v>
      </c>
      <c r="F12" s="10" t="s">
        <v>8</v>
      </c>
      <c r="G12" s="9" t="str">
        <f aca="false">IF(F12=B$1,"MATUTINO",IF(F12=B$2,"VESPERTINO","NOCTURNO"))</f>
        <v>NOCTURNO</v>
      </c>
      <c r="H12" s="10" t="n">
        <v>49</v>
      </c>
      <c r="I12" s="10" t="n">
        <f aca="false">IF(H12&gt;=G$1,H12-G$1,0)</f>
        <v>1</v>
      </c>
      <c r="J12" s="11" t="n">
        <f aca="false">IF(F12="A",H12*D$1,IF(F12="B",H12*D$2,H12*D$3))</f>
        <v>1607.2</v>
      </c>
      <c r="K12" s="12" t="n">
        <f aca="false">IF(F12="A",D$1*I12*2,IF(F12="B",I12*D$2*2,IF(F12="C",D$3*I12*2)))</f>
        <v>65.6</v>
      </c>
      <c r="L12" s="11" t="n">
        <f aca="false">J12+K12</f>
        <v>1672.8</v>
      </c>
    </row>
    <row r="13" customFormat="false" ht="14.6" hidden="false" customHeight="false" outlineLevel="0" collapsed="false">
      <c r="B13" s="9" t="str">
        <f aca="false">CONCATENATE(LEFT(C13,1),LEFT(D13,1),LEFT(E13,1))</f>
        <v>AMD</v>
      </c>
      <c r="C13" s="9" t="s">
        <v>39</v>
      </c>
      <c r="D13" s="9" t="s">
        <v>40</v>
      </c>
      <c r="E13" s="9" t="s">
        <v>41</v>
      </c>
      <c r="F13" s="10" t="s">
        <v>0</v>
      </c>
      <c r="G13" s="9" t="str">
        <f aca="false">IF(F13=B$1,"MATUTINO",IF(F13=B$2,"VESPERTINO","NOCTURNO"))</f>
        <v>MATUTINO</v>
      </c>
      <c r="H13" s="10" t="n">
        <v>54</v>
      </c>
      <c r="I13" s="10" t="n">
        <f aca="false">IF(H13&gt;=G$1,H13-G$1,0)</f>
        <v>6</v>
      </c>
      <c r="J13" s="11" t="n">
        <f aca="false">IF(F13="A",H13*D$1,IF(F13="B",H13*D$2,H13*D$3))</f>
        <v>1323</v>
      </c>
      <c r="K13" s="12" t="n">
        <f aca="false">IF(F13="A",D$1*I13*2,IF(F13="B",I13*D$2*2,IF(F13="C",D$3*I13*2)))</f>
        <v>294</v>
      </c>
      <c r="L13" s="11" t="n">
        <f aca="false">J13+K13</f>
        <v>1617</v>
      </c>
    </row>
    <row r="14" customFormat="false" ht="14.6" hidden="false" customHeight="false" outlineLevel="0" collapsed="false">
      <c r="B14" s="9" t="str">
        <f aca="false">CONCATENATE(LEFT(C14,1),LEFT(D14,1),LEFT(E14,1))</f>
        <v>MBN</v>
      </c>
      <c r="C14" s="9" t="s">
        <v>42</v>
      </c>
      <c r="D14" s="9" t="s">
        <v>43</v>
      </c>
      <c r="E14" s="9" t="s">
        <v>44</v>
      </c>
      <c r="F14" s="10" t="s">
        <v>5</v>
      </c>
      <c r="G14" s="9" t="str">
        <f aca="false">IF(F14=B$1,"MATUTINO",IF(F14=B$2,"VESPERTINO","NOCTURNO"))</f>
        <v>VESPERTINO</v>
      </c>
      <c r="H14" s="10" t="n">
        <v>48</v>
      </c>
      <c r="I14" s="10" t="n">
        <f aca="false">IF(H14&gt;=G$1,H14-G$1,0)</f>
        <v>0</v>
      </c>
      <c r="J14" s="11" t="n">
        <f aca="false">IF(F14="A",H14*D$1,IF(F14="B",H14*D$2,H14*D$3))</f>
        <v>1315.2</v>
      </c>
      <c r="K14" s="12" t="n">
        <f aca="false">IF(F14="A",D$1*I14*2,IF(F14="B",I14*D$2*2,IF(F14="C",D$3*I14*2)))</f>
        <v>0</v>
      </c>
      <c r="L14" s="11" t="n">
        <f aca="false">J14+K14</f>
        <v>1315.2</v>
      </c>
    </row>
    <row r="15" customFormat="false" ht="14.6" hidden="false" customHeight="false" outlineLevel="0" collapsed="false">
      <c r="B15" s="9" t="str">
        <f aca="false">CONCATENATE(LEFT(C15,1),LEFT(D15,1),LEFT(E15,1))</f>
        <v>VÁG</v>
      </c>
      <c r="C15" s="9" t="s">
        <v>45</v>
      </c>
      <c r="D15" s="9" t="s">
        <v>46</v>
      </c>
      <c r="E15" s="9" t="s">
        <v>47</v>
      </c>
      <c r="F15" s="10" t="s">
        <v>5</v>
      </c>
      <c r="G15" s="9" t="str">
        <f aca="false">IF(F15=B$1,"MATUTINO",IF(F15=B$2,"VESPERTINO","NOCTURNO"))</f>
        <v>VESPERTINO</v>
      </c>
      <c r="H15" s="10" t="n">
        <v>60</v>
      </c>
      <c r="I15" s="10" t="n">
        <f aca="false">IF(H15&gt;=G$1,H15-G$1,0)</f>
        <v>12</v>
      </c>
      <c r="J15" s="11" t="n">
        <f aca="false">IF(F15="A",H15*D$1,IF(F15="B",H15*D$2,H15*D$3))</f>
        <v>1644</v>
      </c>
      <c r="K15" s="12" t="n">
        <f aca="false">IF(F15="A",D$1*I15*2,IF(F15="B",I15*D$2*2,IF(F15="C",D$3*I15*2)))</f>
        <v>657.6</v>
      </c>
      <c r="L15" s="11" t="n">
        <f aca="false">J15+K15</f>
        <v>2301.6</v>
      </c>
    </row>
    <row r="16" customFormat="false" ht="14.6" hidden="false" customHeight="false" outlineLevel="0" collapsed="false">
      <c r="B16" s="9" t="str">
        <f aca="false">CONCATENATE(LEFT(C16,1),LEFT(D16,1),LEFT(E16,1))</f>
        <v>MRD</v>
      </c>
      <c r="C16" s="9" t="s">
        <v>48</v>
      </c>
      <c r="D16" s="9" t="s">
        <v>49</v>
      </c>
      <c r="E16" s="9" t="s">
        <v>26</v>
      </c>
      <c r="F16" s="10" t="s">
        <v>8</v>
      </c>
      <c r="G16" s="9" t="str">
        <f aca="false">IF(F16=B$1,"MATUTINO",IF(F16=B$2,"VESPERTINO","NOCTURNO"))</f>
        <v>NOCTURNO</v>
      </c>
      <c r="H16" s="10" t="n">
        <v>51</v>
      </c>
      <c r="I16" s="10" t="n">
        <f aca="false">IF(H16&gt;=G$1,H16-G$1,0)</f>
        <v>3</v>
      </c>
      <c r="J16" s="11" t="n">
        <f aca="false">IF(F16="A",H16*D$1,IF(F16="B",H16*D$2,H16*D$3))</f>
        <v>1672.8</v>
      </c>
      <c r="K16" s="12" t="n">
        <f aca="false">IF(F16="A",D$1*I16*2,IF(F16="B",I16*D$2*2,IF(F16="C",D$3*I16*2)))</f>
        <v>196.8</v>
      </c>
      <c r="L16" s="11" t="n">
        <f aca="false">J16+K16</f>
        <v>1869.6</v>
      </c>
    </row>
    <row r="17" customFormat="false" ht="12.75" hidden="false" customHeight="false" outlineLevel="0" collapsed="false">
      <c r="J17" s="13"/>
    </row>
    <row r="18" customFormat="false" ht="38.25" hidden="false" customHeight="false" outlineLevel="0" collapsed="false">
      <c r="B18" s="7" t="s">
        <v>50</v>
      </c>
      <c r="C18" s="7" t="s">
        <v>17</v>
      </c>
      <c r="D18" s="7" t="s">
        <v>18</v>
      </c>
      <c r="E18" s="7" t="s">
        <v>19</v>
      </c>
      <c r="F18" s="7" t="s">
        <v>20</v>
      </c>
      <c r="G18" s="7" t="s">
        <v>21</v>
      </c>
      <c r="H18" s="7" t="s">
        <v>51</v>
      </c>
      <c r="I18" s="7" t="s">
        <v>52</v>
      </c>
      <c r="J18" s="7" t="s">
        <v>53</v>
      </c>
      <c r="K18" s="7" t="s">
        <v>54</v>
      </c>
      <c r="L18" s="7" t="s">
        <v>4</v>
      </c>
      <c r="M18" s="7" t="s">
        <v>4</v>
      </c>
      <c r="N18" s="7" t="s">
        <v>55</v>
      </c>
      <c r="O18" s="7" t="s">
        <v>56</v>
      </c>
      <c r="P18" s="7" t="s">
        <v>57</v>
      </c>
      <c r="Q18" s="8"/>
    </row>
    <row r="19" customFormat="false" ht="14.6" hidden="false" customHeight="false" outlineLevel="0" collapsed="false">
      <c r="B19" s="9" t="s">
        <v>58</v>
      </c>
      <c r="C19" s="10" t="n">
        <v>49</v>
      </c>
      <c r="D19" s="9" t="n">
        <f aca="false">IF(C19&gt;=G$1,C19-G$1,0)</f>
        <v>1</v>
      </c>
      <c r="E19" s="11" t="n">
        <f aca="false">IF(F7="A",D$1*C19,IF(F7="B",D$2*C19,D$3*C19))</f>
        <v>1200.5</v>
      </c>
      <c r="F19" s="12" t="n">
        <f aca="false">IF(F7="A",D$1*D19*2,IF(F7="B",D$2*2*D19,D$3*2*D19))</f>
        <v>49</v>
      </c>
      <c r="G19" s="11" t="n">
        <f aca="false">E19+F19</f>
        <v>1249.5</v>
      </c>
      <c r="H19" s="11" t="n">
        <f aca="false">G19*2</f>
        <v>2499</v>
      </c>
      <c r="I19" s="11" t="n">
        <f aca="false">IF(F7="A",H19*J$2,IF(F7="B",H19*J$3,H19*J$4))</f>
        <v>62.475</v>
      </c>
      <c r="J19" s="11" t="n">
        <f aca="false">H19-I19</f>
        <v>2436.525</v>
      </c>
      <c r="K19" s="10" t="s">
        <v>59</v>
      </c>
      <c r="L19" s="10" t="n">
        <v>1</v>
      </c>
      <c r="M19" s="14" t="n">
        <f aca="false">IF(L19=L$2,200,IF(L19=L$3,100,0))</f>
        <v>200</v>
      </c>
      <c r="N19" s="12" t="n">
        <f aca="false">IF(L19=L$2,N$2,IF(L19=L$3,N$3,0))</f>
        <v>200</v>
      </c>
      <c r="O19" s="12" t="n">
        <f aca="false">IF(K19="SI",G19*2,0)</f>
        <v>2499</v>
      </c>
      <c r="P19" s="11" t="n">
        <f aca="false">N19+O19+J19</f>
        <v>5135.525</v>
      </c>
    </row>
    <row r="20" customFormat="false" ht="14.6" hidden="false" customHeight="false" outlineLevel="0" collapsed="false">
      <c r="B20" s="9" t="s">
        <v>60</v>
      </c>
      <c r="C20" s="10" t="n">
        <v>53</v>
      </c>
      <c r="D20" s="9" t="n">
        <f aca="false">IF(C20&gt;=G$1,C20-G$1,0)</f>
        <v>5</v>
      </c>
      <c r="E20" s="11" t="n">
        <f aca="false">IF(F8="A",D$1*C20,IF(F8="B",D$2*C20,D$3*C20))</f>
        <v>1298.5</v>
      </c>
      <c r="F20" s="12" t="n">
        <f aca="false">IF(F8="A",D$1*D20*2,IF(F8="B",D$2*2*D20,D$3*2*D20))</f>
        <v>245</v>
      </c>
      <c r="G20" s="11" t="n">
        <f aca="false">E20+F20</f>
        <v>1543.5</v>
      </c>
      <c r="H20" s="11" t="n">
        <f aca="false">G20*2</f>
        <v>3087</v>
      </c>
      <c r="I20" s="11" t="n">
        <f aca="false">IF(F8="A",H20*J$2,IF(F8="B",H20*J$3,H20*J$4))</f>
        <v>77.175</v>
      </c>
      <c r="J20" s="11" t="n">
        <f aca="false">H20-I20</f>
        <v>3009.825</v>
      </c>
      <c r="K20" s="10" t="s">
        <v>59</v>
      </c>
      <c r="L20" s="10" t="n">
        <v>1</v>
      </c>
      <c r="M20" s="14" t="n">
        <f aca="false">IF(L20=L$2,200,IF(L20=L$3,100,0))</f>
        <v>200</v>
      </c>
      <c r="N20" s="12" t="n">
        <f aca="false">IF(L20=L$2,N$2,IF(L20=L$3,N$3,0))</f>
        <v>200</v>
      </c>
      <c r="O20" s="12" t="n">
        <f aca="false">IF(K20="SI",G20*2,0)</f>
        <v>3087</v>
      </c>
      <c r="P20" s="11" t="n">
        <f aca="false">N20+O20+J20</f>
        <v>6296.825</v>
      </c>
    </row>
    <row r="21" customFormat="false" ht="14.6" hidden="false" customHeight="false" outlineLevel="0" collapsed="false">
      <c r="B21" s="9" t="s">
        <v>61</v>
      </c>
      <c r="C21" s="10" t="n">
        <v>48</v>
      </c>
      <c r="D21" s="9" t="n">
        <f aca="false">IF(C21&gt;=G$1,C21-G$1,0)</f>
        <v>0</v>
      </c>
      <c r="E21" s="11" t="n">
        <f aca="false">IF(F9="A",D$1*C21,IF(F9="B",D$2*C21,D$3*C21))</f>
        <v>1574.4</v>
      </c>
      <c r="F21" s="12" t="n">
        <f aca="false">IF(F9="A",D$1*D21*2,IF(F9="B",D$2*2*D21,D$3*2*D21))</f>
        <v>0</v>
      </c>
      <c r="G21" s="11" t="n">
        <f aca="false">E21+F21</f>
        <v>1574.4</v>
      </c>
      <c r="H21" s="11" t="n">
        <f aca="false">G21*2</f>
        <v>3148.8</v>
      </c>
      <c r="I21" s="11" t="n">
        <f aca="false">IF(F9="A",H21*J$2,IF(F9="B",H21*J$3,H21*J$4))</f>
        <v>129.1008</v>
      </c>
      <c r="J21" s="11" t="n">
        <f aca="false">H21-I21</f>
        <v>3019.6992</v>
      </c>
      <c r="K21" s="10" t="s">
        <v>62</v>
      </c>
      <c r="L21" s="10" t="n">
        <v>3</v>
      </c>
      <c r="M21" s="14" t="n">
        <f aca="false">IF(L21=L$2,200,IF(L21=L$3,100,0))</f>
        <v>0</v>
      </c>
      <c r="N21" s="12" t="n">
        <f aca="false">IF(L21=L$2,N$2,IF(L21=L$3,N$3,0))</f>
        <v>0</v>
      </c>
      <c r="O21" s="12" t="n">
        <f aca="false">IF(K21="SI",G21*2,0)</f>
        <v>0</v>
      </c>
      <c r="P21" s="11" t="n">
        <f aca="false">N21+O21+J21</f>
        <v>3019.6992</v>
      </c>
    </row>
    <row r="22" customFormat="false" ht="14.6" hidden="false" customHeight="false" outlineLevel="0" collapsed="false">
      <c r="B22" s="9" t="s">
        <v>63</v>
      </c>
      <c r="C22" s="10" t="n">
        <v>56</v>
      </c>
      <c r="D22" s="9" t="n">
        <f aca="false">IF(C22&gt;=G$1,C22-G$1,0)</f>
        <v>8</v>
      </c>
      <c r="E22" s="11" t="n">
        <f aca="false">IF(F10="A",D$1*C22,IF(F10="B",D$2*C22,D$3*C22))</f>
        <v>1836.8</v>
      </c>
      <c r="F22" s="12" t="n">
        <f aca="false">IF(F10="A",D$1*D22*2,IF(F10="B",D$2*2*D22,D$3*2*D22))</f>
        <v>524.8</v>
      </c>
      <c r="G22" s="11" t="n">
        <f aca="false">E22+F22</f>
        <v>2361.6</v>
      </c>
      <c r="H22" s="11" t="n">
        <f aca="false">G22*2</f>
        <v>4723.2</v>
      </c>
      <c r="I22" s="11" t="n">
        <f aca="false">IF(F10="A",H22*J$2,IF(F10="B",H22*J$3,H22*J$4))</f>
        <v>193.6512</v>
      </c>
      <c r="J22" s="11" t="n">
        <f aca="false">H22-I22</f>
        <v>4529.5488</v>
      </c>
      <c r="K22" s="10" t="s">
        <v>62</v>
      </c>
      <c r="L22" s="10" t="n">
        <v>1</v>
      </c>
      <c r="M22" s="14" t="n">
        <f aca="false">IF(L22=L$2,200,IF(L22=L$3,100,0))</f>
        <v>200</v>
      </c>
      <c r="N22" s="12" t="n">
        <f aca="false">IF(L22=L$2,N$2,IF(L22=L$3,N$3,0))</f>
        <v>200</v>
      </c>
      <c r="O22" s="12" t="n">
        <f aca="false">IF(K22="SI",G22*2,0)</f>
        <v>0</v>
      </c>
      <c r="P22" s="11" t="n">
        <f aca="false">N22+O22+J22</f>
        <v>4729.5488</v>
      </c>
    </row>
    <row r="23" customFormat="false" ht="14.6" hidden="false" customHeight="false" outlineLevel="0" collapsed="false">
      <c r="B23" s="9" t="s">
        <v>64</v>
      </c>
      <c r="C23" s="10" t="n">
        <v>45</v>
      </c>
      <c r="D23" s="9" t="n">
        <f aca="false">IF(C23&gt;=G$1,C23-G$1,0)</f>
        <v>0</v>
      </c>
      <c r="E23" s="11" t="n">
        <f aca="false">IF(F11="A",D$1*C23,IF(F11="B",D$2*C23,D$3*C23))</f>
        <v>1233</v>
      </c>
      <c r="F23" s="12" t="n">
        <f aca="false">IF(F11="A",D$1*D23*2,IF(F11="B",D$2*2*D23,D$3*2*D23))</f>
        <v>0</v>
      </c>
      <c r="G23" s="11" t="n">
        <f aca="false">E23+F23</f>
        <v>1233</v>
      </c>
      <c r="H23" s="11" t="n">
        <f aca="false">G23*2</f>
        <v>2466</v>
      </c>
      <c r="I23" s="11" t="n">
        <f aca="false">IF(F11="A",H23*J$2,IF(F11="B",H23*J$3,H23*J$4))</f>
        <v>83.844</v>
      </c>
      <c r="J23" s="11" t="n">
        <f aca="false">H23-I23</f>
        <v>2382.156</v>
      </c>
      <c r="K23" s="10" t="s">
        <v>62</v>
      </c>
      <c r="L23" s="10" t="n">
        <v>3</v>
      </c>
      <c r="M23" s="14" t="n">
        <f aca="false">IF(L23=L$2,200,IF(L23=L$3,100,0))</f>
        <v>0</v>
      </c>
      <c r="N23" s="12" t="n">
        <f aca="false">IF(L23=L$2,N$2,IF(L23=L$3,N$3,0))</f>
        <v>0</v>
      </c>
      <c r="O23" s="12" t="n">
        <f aca="false">IF(K23="SI",G23*2,0)</f>
        <v>0</v>
      </c>
      <c r="P23" s="11" t="n">
        <f aca="false">N23+O23+J23</f>
        <v>2382.156</v>
      </c>
    </row>
    <row r="24" customFormat="false" ht="14.6" hidden="false" customHeight="false" outlineLevel="0" collapsed="false">
      <c r="B24" s="9" t="s">
        <v>65</v>
      </c>
      <c r="C24" s="10" t="n">
        <v>42</v>
      </c>
      <c r="D24" s="9" t="n">
        <f aca="false">IF(C24&gt;=G$1,C24-G$1,0)</f>
        <v>0</v>
      </c>
      <c r="E24" s="11" t="n">
        <f aca="false">IF(F12="A",D$1*C24,IF(F12="B",D$2*C24,D$3*C24))</f>
        <v>1377.6</v>
      </c>
      <c r="F24" s="12" t="n">
        <f aca="false">IF(F12="A",D$1*D24*2,IF(F12="B",D$2*2*D24,D$3*2*D24))</f>
        <v>0</v>
      </c>
      <c r="G24" s="11" t="n">
        <f aca="false">E24+F24</f>
        <v>1377.6</v>
      </c>
      <c r="H24" s="11" t="n">
        <f aca="false">G24*2</f>
        <v>2755.2</v>
      </c>
      <c r="I24" s="11" t="n">
        <f aca="false">IF(F12="A",H24*J$2,IF(F12="B",H24*J$3,H24*J$4))</f>
        <v>112.9632</v>
      </c>
      <c r="J24" s="11" t="n">
        <f aca="false">H24-I24</f>
        <v>2642.2368</v>
      </c>
      <c r="K24" s="10" t="s">
        <v>59</v>
      </c>
      <c r="L24" s="10" t="n">
        <v>3</v>
      </c>
      <c r="M24" s="14" t="n">
        <f aca="false">IF(L24=L$2,200,IF(L24=L$3,100,0))</f>
        <v>0</v>
      </c>
      <c r="N24" s="12" t="n">
        <f aca="false">IF(L24=L$2,N$2,IF(L24=L$3,N$3,0))</f>
        <v>0</v>
      </c>
      <c r="O24" s="12" t="n">
        <f aca="false">IF(K24="SI",G24*2,0)</f>
        <v>2755.2</v>
      </c>
      <c r="P24" s="11" t="n">
        <f aca="false">N24+O24+J24</f>
        <v>5397.4368</v>
      </c>
    </row>
    <row r="25" customFormat="false" ht="14.6" hidden="false" customHeight="false" outlineLevel="0" collapsed="false">
      <c r="B25" s="9" t="s">
        <v>66</v>
      </c>
      <c r="C25" s="10" t="n">
        <v>48</v>
      </c>
      <c r="D25" s="9" t="n">
        <f aca="false">IF(C25&gt;=G$1,C25-G$1,0)</f>
        <v>0</v>
      </c>
      <c r="E25" s="11" t="n">
        <f aca="false">IF(F13="A",D$1*C25,IF(F13="B",D$2*C25,D$3*C25))</f>
        <v>1176</v>
      </c>
      <c r="F25" s="12" t="n">
        <f aca="false">IF(F13="A",D$1*D25*2,IF(F13="B",D$2*2*D25,D$3*2*D25))</f>
        <v>0</v>
      </c>
      <c r="G25" s="11" t="n">
        <f aca="false">E25+F25</f>
        <v>1176</v>
      </c>
      <c r="H25" s="11" t="n">
        <f aca="false">G25*2</f>
        <v>2352</v>
      </c>
      <c r="I25" s="11" t="n">
        <f aca="false">IF(F13="A",H25*J$2,IF(F13="B",H25*J$3,H25*J$4))</f>
        <v>58.8</v>
      </c>
      <c r="J25" s="11" t="n">
        <f aca="false">H25-I25</f>
        <v>2293.2</v>
      </c>
      <c r="K25" s="10" t="s">
        <v>62</v>
      </c>
      <c r="L25" s="10" t="n">
        <v>2</v>
      </c>
      <c r="M25" s="14" t="n">
        <f aca="false">IF(L25=L$2,200,IF(L25=L$3,100,0))</f>
        <v>100</v>
      </c>
      <c r="N25" s="12" t="n">
        <f aca="false">IF(L25=L$2,N$2,IF(L25=L$3,N$3,0))</f>
        <v>100</v>
      </c>
      <c r="O25" s="12" t="n">
        <f aca="false">IF(K25="SI",G25*2,0)</f>
        <v>0</v>
      </c>
      <c r="P25" s="11" t="n">
        <f aca="false">N25+O25+J25</f>
        <v>2393.2</v>
      </c>
    </row>
    <row r="26" customFormat="false" ht="14.6" hidden="false" customHeight="false" outlineLevel="0" collapsed="false">
      <c r="B26" s="9" t="s">
        <v>67</v>
      </c>
      <c r="C26" s="10" t="n">
        <v>55</v>
      </c>
      <c r="D26" s="9" t="n">
        <f aca="false">IF(C26&gt;=G$1,C26-G$1,0)</f>
        <v>7</v>
      </c>
      <c r="E26" s="11" t="n">
        <f aca="false">IF(F14="A",D$1*C26,IF(F14="B",D$2*C26,D$3*C26))</f>
        <v>1507</v>
      </c>
      <c r="F26" s="12" t="n">
        <f aca="false">IF(F14="A",D$1*D26*2,IF(F14="B",D$2*2*D26,D$3*2*D26))</f>
        <v>383.6</v>
      </c>
      <c r="G26" s="11" t="n">
        <f aca="false">E26+F26</f>
        <v>1890.6</v>
      </c>
      <c r="H26" s="11" t="n">
        <f aca="false">G26*2</f>
        <v>3781.2</v>
      </c>
      <c r="I26" s="11" t="n">
        <f aca="false">IF(F14="A",H26*J$2,IF(F14="B",H26*J$3,H26*J$4))</f>
        <v>128.5608</v>
      </c>
      <c r="J26" s="11" t="n">
        <f aca="false">H26-I26</f>
        <v>3652.6392</v>
      </c>
      <c r="K26" s="10" t="s">
        <v>59</v>
      </c>
      <c r="L26" s="10" t="n">
        <v>2</v>
      </c>
      <c r="M26" s="14" t="n">
        <f aca="false">IF(L26=L$2,200,IF(L26=L$3,100,0))</f>
        <v>100</v>
      </c>
      <c r="N26" s="12" t="n">
        <f aca="false">IF(L26=L$2,N$2,IF(L26=L$3,N$3,0))</f>
        <v>100</v>
      </c>
      <c r="O26" s="12" t="n">
        <f aca="false">IF(K26="SI",G26*2,0)</f>
        <v>3781.2</v>
      </c>
      <c r="P26" s="11" t="n">
        <f aca="false">N26+O26+J26</f>
        <v>7533.8392</v>
      </c>
    </row>
    <row r="27" customFormat="false" ht="14.6" hidden="false" customHeight="false" outlineLevel="0" collapsed="false">
      <c r="B27" s="9" t="s">
        <v>68</v>
      </c>
      <c r="C27" s="10" t="n">
        <v>62</v>
      </c>
      <c r="D27" s="9" t="n">
        <f aca="false">IF(C27&gt;=G$1,C27-G$1,0)</f>
        <v>14</v>
      </c>
      <c r="E27" s="11" t="n">
        <f aca="false">IF(F15="A",D$1*C27,IF(F15="B",D$2*C27,D$3*C27))</f>
        <v>1698.8</v>
      </c>
      <c r="F27" s="12" t="n">
        <f aca="false">IF(F15="A",D$1*D27*2,IF(F15="B",D$2*2*D27,D$3*2*D27))</f>
        <v>767.2</v>
      </c>
      <c r="G27" s="11" t="n">
        <f aca="false">E27+F27</f>
        <v>2466</v>
      </c>
      <c r="H27" s="11" t="n">
        <f aca="false">G27*2</f>
        <v>4932</v>
      </c>
      <c r="I27" s="11" t="n">
        <f aca="false">IF(F15="A",H27*J$2,IF(F15="B",H27*J$3,H27*J$4))</f>
        <v>167.688</v>
      </c>
      <c r="J27" s="11" t="n">
        <f aca="false">H27-I27</f>
        <v>4764.312</v>
      </c>
      <c r="K27" s="10" t="s">
        <v>62</v>
      </c>
      <c r="L27" s="10" t="n">
        <v>1</v>
      </c>
      <c r="M27" s="14" t="n">
        <f aca="false">IF(L27=L$2,200,IF(L27=L$3,100,0))</f>
        <v>200</v>
      </c>
      <c r="N27" s="12" t="n">
        <f aca="false">IF(L27=L$2,N$2,IF(L27=L$3,N$3,0))</f>
        <v>200</v>
      </c>
      <c r="O27" s="12" t="n">
        <f aca="false">IF(K27="SI",G27*2,0)</f>
        <v>0</v>
      </c>
      <c r="P27" s="11" t="n">
        <f aca="false">N27+O27+J27</f>
        <v>4964.312</v>
      </c>
    </row>
    <row r="28" customFormat="false" ht="14.6" hidden="false" customHeight="false" outlineLevel="0" collapsed="false">
      <c r="B28" s="9" t="s">
        <v>69</v>
      </c>
      <c r="C28" s="10" t="n">
        <v>50</v>
      </c>
      <c r="D28" s="9" t="n">
        <f aca="false">IF(C28&gt;=G$1,C28-G$1,0)</f>
        <v>2</v>
      </c>
      <c r="E28" s="11" t="n">
        <f aca="false">IF(F16="A",D$1*C28,IF(F16="B",D$2*C28,D$3*C28))</f>
        <v>1640</v>
      </c>
      <c r="F28" s="12" t="n">
        <f aca="false">IF(F16="A",D$1*D28*2,IF(F16="B",D$2*2*D28,D$3*2*D28))</f>
        <v>131.2</v>
      </c>
      <c r="G28" s="11" t="n">
        <f aca="false">E28+F28</f>
        <v>1771.2</v>
      </c>
      <c r="H28" s="11" t="n">
        <f aca="false">G28*2</f>
        <v>3542.4</v>
      </c>
      <c r="I28" s="11" t="n">
        <f aca="false">IF(F16="A",H28*J$2,IF(F16="B",H28*J$3,H28*J$4))</f>
        <v>145.2384</v>
      </c>
      <c r="J28" s="11" t="n">
        <f aca="false">H28-I28</f>
        <v>3397.1616</v>
      </c>
      <c r="K28" s="10" t="s">
        <v>59</v>
      </c>
      <c r="L28" s="10" t="n">
        <v>2</v>
      </c>
      <c r="M28" s="14" t="n">
        <f aca="false">IF(L28=L$2,200,IF(L28=L$3,100,0))</f>
        <v>100</v>
      </c>
      <c r="N28" s="12" t="n">
        <f aca="false">IF(L28=L$2,N$2,IF(L28=L$3,N$3,0))</f>
        <v>100</v>
      </c>
      <c r="O28" s="12" t="n">
        <f aca="false">IF(K28="SI",G28*2,0)</f>
        <v>3542.4</v>
      </c>
      <c r="P28" s="11" t="n">
        <f aca="false">N28+O28+J28</f>
        <v>7039.5616</v>
      </c>
    </row>
    <row r="29" customFormat="false" ht="14.6" hidden="false" customHeight="false" outlineLevel="0" collapsed="false"/>
    <row r="30" customFormat="false" ht="14.6" hidden="false" customHeight="false" outlineLevel="0" collapsed="false"/>
    <row r="31" customFormat="false" ht="14.6" hidden="false" customHeight="false" outlineLevel="0" collapsed="false"/>
    <row r="32" customFormat="false" ht="14.6" hidden="false" customHeight="false" outlineLevel="0" collapsed="false"/>
    <row r="40" customFormat="false" ht="12.75" hidden="false" customHeight="false" outlineLevel="0" collapsed="false">
      <c r="G40" s="1" t="s">
        <v>70</v>
      </c>
    </row>
  </sheetData>
  <mergeCells count="2">
    <mergeCell ref="I1:J1"/>
    <mergeCell ref="L1:N1"/>
  </mergeCells>
  <printOptions headings="false" gridLines="false" gridLinesSet="true" horizontalCentered="false" verticalCentered="false"/>
  <pageMargins left="0.75" right="0.75" top="1" bottom="1" header="0" footer="0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D5:L27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" workbookViewId="0">
      <selection pane="topLeft" activeCell="J24" activeCellId="0" sqref="J24"/>
    </sheetView>
  </sheetViews>
  <sheetFormatPr defaultRowHeight="12.8"/>
  <cols>
    <col collapsed="false" hidden="false" max="8" min="1" style="0" width="11.5204081632653"/>
    <col collapsed="false" hidden="false" max="9" min="9" style="0" width="13.0561224489796"/>
    <col collapsed="false" hidden="false" max="1025" min="10" style="0" width="11.5204081632653"/>
  </cols>
  <sheetData>
    <row r="5" customFormat="false" ht="14.6" hidden="false" customHeight="false" outlineLevel="0" collapsed="false">
      <c r="D5" s="15"/>
      <c r="E5" s="15"/>
      <c r="F5" s="15"/>
      <c r="G5" s="15"/>
      <c r="H5" s="15"/>
      <c r="I5" s="15"/>
      <c r="J5" s="15"/>
      <c r="K5" s="15"/>
      <c r="L5" s="15"/>
    </row>
    <row r="6" customFormat="false" ht="14.6" hidden="false" customHeight="false" outlineLevel="0" collapsed="false">
      <c r="D6" s="15"/>
      <c r="E6" s="15"/>
      <c r="F6" s="15" t="s">
        <v>71</v>
      </c>
      <c r="G6" s="15"/>
      <c r="H6" s="15"/>
      <c r="I6" s="15"/>
      <c r="J6" s="15"/>
      <c r="K6" s="15"/>
      <c r="L6" s="15"/>
    </row>
    <row r="7" customFormat="false" ht="14.6" hidden="false" customHeight="false" outlineLevel="0" collapsed="false">
      <c r="D7" s="15"/>
      <c r="E7" s="15"/>
      <c r="F7" s="15" t="s">
        <v>72</v>
      </c>
      <c r="G7" s="15"/>
      <c r="H7" s="15"/>
      <c r="I7" s="15"/>
      <c r="J7" s="15"/>
      <c r="K7" s="15"/>
      <c r="L7" s="15"/>
    </row>
    <row r="8" customFormat="false" ht="14.6" hidden="false" customHeight="false" outlineLevel="0" collapsed="false">
      <c r="D8" s="15"/>
      <c r="E8" s="15"/>
      <c r="F8" s="15" t="s">
        <v>73</v>
      </c>
      <c r="G8" s="15"/>
      <c r="H8" s="15"/>
      <c r="I8" s="15"/>
      <c r="J8" s="15"/>
      <c r="K8" s="15"/>
      <c r="L8" s="15"/>
    </row>
    <row r="9" customFormat="false" ht="14.6" hidden="false" customHeight="false" outlineLevel="0" collapsed="false">
      <c r="D9" s="15"/>
      <c r="E9" s="15"/>
      <c r="F9" s="15"/>
      <c r="G9" s="15"/>
      <c r="H9" s="15"/>
      <c r="I9" s="15"/>
      <c r="J9" s="15"/>
      <c r="K9" s="15"/>
      <c r="L9" s="15"/>
    </row>
    <row r="10" customFormat="false" ht="14.6" hidden="false" customHeight="false" outlineLevel="0" collapsed="false">
      <c r="D10" s="15"/>
      <c r="E10" s="15"/>
      <c r="F10" s="15"/>
      <c r="G10" s="15"/>
      <c r="H10" s="15"/>
      <c r="I10" s="15"/>
      <c r="J10" s="15"/>
      <c r="K10" s="15"/>
      <c r="L10" s="15"/>
    </row>
    <row r="11" customFormat="false" ht="14.6" hidden="false" customHeight="false" outlineLevel="0" collapsed="false">
      <c r="D11" s="15"/>
      <c r="E11" s="15"/>
      <c r="F11" s="15"/>
      <c r="G11" s="15"/>
      <c r="H11" s="16"/>
      <c r="I11" s="16" t="s">
        <v>74</v>
      </c>
      <c r="J11" s="17" t="n">
        <f aca="false">VLOOKUP(F12,sem2,12)</f>
        <v>200</v>
      </c>
      <c r="K11" s="17"/>
      <c r="L11" s="15"/>
    </row>
    <row r="12" customFormat="false" ht="14.6" hidden="false" customHeight="false" outlineLevel="0" collapsed="false">
      <c r="D12" s="15" t="s">
        <v>75</v>
      </c>
      <c r="E12" s="15"/>
      <c r="F12" s="18" t="s">
        <v>60</v>
      </c>
      <c r="G12" s="18"/>
      <c r="H12" s="16"/>
      <c r="I12" s="16" t="s">
        <v>76</v>
      </c>
      <c r="J12" s="19" t="n">
        <f aca="false">VLOOKUP(F12,sem2,13)</f>
        <v>200</v>
      </c>
      <c r="K12" s="19"/>
      <c r="L12" s="15"/>
    </row>
    <row r="13" customFormat="false" ht="14.6" hidden="false" customHeight="false" outlineLevel="0" collapsed="false">
      <c r="D13" s="15" t="s">
        <v>13</v>
      </c>
      <c r="E13" s="15"/>
      <c r="F13" s="18" t="str">
        <f aca="false">UPPER(VLOOKUP(F12,sem1,2))</f>
        <v>SAMUEL</v>
      </c>
      <c r="G13" s="18"/>
      <c r="H13" s="16"/>
      <c r="I13" s="16" t="s">
        <v>77</v>
      </c>
      <c r="J13" s="20" t="n">
        <f aca="false">VLOOKUP(F12,sem2,14)</f>
        <v>3087</v>
      </c>
      <c r="K13" s="20"/>
      <c r="L13" s="15"/>
    </row>
    <row r="14" customFormat="false" ht="14.6" hidden="false" customHeight="false" outlineLevel="0" collapsed="false">
      <c r="D14" s="15" t="s">
        <v>78</v>
      </c>
      <c r="E14" s="15"/>
      <c r="F14" s="18" t="str">
        <f aca="false">VLOOKUP(F13,sem1,6)</f>
        <v>MATUTINO</v>
      </c>
      <c r="G14" s="18"/>
      <c r="H14" s="16"/>
      <c r="I14" s="16"/>
      <c r="J14" s="16"/>
      <c r="K14" s="15"/>
      <c r="L14" s="15"/>
    </row>
    <row r="15" customFormat="false" ht="14.6" hidden="false" customHeight="false" outlineLevel="0" collapsed="false">
      <c r="D15" s="15" t="s">
        <v>79</v>
      </c>
      <c r="E15" s="15"/>
      <c r="F15" s="21" t="n">
        <f aca="false">VLOOKUP(F12,sem1,9)</f>
        <v>1176</v>
      </c>
      <c r="G15" s="21"/>
      <c r="H15" s="16"/>
      <c r="I15" s="16"/>
      <c r="J15" s="16"/>
      <c r="K15" s="15"/>
      <c r="L15" s="15"/>
    </row>
    <row r="16" customFormat="false" ht="14.6" hidden="false" customHeight="false" outlineLevel="0" collapsed="false">
      <c r="D16" s="15" t="s">
        <v>80</v>
      </c>
      <c r="E16" s="15"/>
      <c r="F16" s="18" t="n">
        <f aca="false">VLOOKUP(F12,sem1,8)</f>
        <v>0</v>
      </c>
      <c r="G16" s="18"/>
      <c r="H16" s="16"/>
      <c r="I16" s="16"/>
      <c r="J16" s="16"/>
      <c r="K16" s="15"/>
      <c r="L16" s="15"/>
    </row>
    <row r="17" customFormat="false" ht="14.6" hidden="false" customHeight="false" outlineLevel="0" collapsed="false">
      <c r="D17" s="15" t="s">
        <v>81</v>
      </c>
      <c r="E17" s="15"/>
      <c r="F17" s="21" t="n">
        <f aca="false">VLOOKUP(F12,sem2,4)</f>
        <v>1298.5</v>
      </c>
      <c r="G17" s="21"/>
      <c r="H17" s="16"/>
      <c r="I17" s="16"/>
      <c r="J17" s="16"/>
      <c r="K17" s="15"/>
      <c r="L17" s="15"/>
    </row>
    <row r="18" customFormat="false" ht="14.6" hidden="false" customHeight="false" outlineLevel="0" collapsed="false">
      <c r="D18" s="15" t="s">
        <v>82</v>
      </c>
      <c r="E18" s="15"/>
      <c r="F18" s="18" t="n">
        <f aca="false">VLOOKUP(F12,sem2,3)</f>
        <v>5</v>
      </c>
      <c r="G18" s="18"/>
      <c r="H18" s="16"/>
      <c r="I18" s="16"/>
      <c r="J18" s="16"/>
      <c r="K18" s="15"/>
      <c r="L18" s="15"/>
    </row>
    <row r="19" customFormat="false" ht="14.6" hidden="false" customHeight="false" outlineLevel="0" collapsed="false">
      <c r="D19" s="15"/>
      <c r="E19" s="15"/>
      <c r="F19" s="15" t="s">
        <v>83</v>
      </c>
      <c r="G19" s="22" t="n">
        <f aca="false">SUM(F15:F18)</f>
        <v>2479.5</v>
      </c>
      <c r="H19" s="16"/>
      <c r="I19" s="16" t="s">
        <v>84</v>
      </c>
      <c r="J19" s="23" t="n">
        <f aca="false">VLOOKUP(F12,sem2,8)</f>
        <v>77.175</v>
      </c>
      <c r="K19" s="23"/>
      <c r="L19" s="15"/>
    </row>
    <row r="20" customFormat="false" ht="14.6" hidden="false" customHeight="false" outlineLevel="0" collapsed="false">
      <c r="D20" s="15"/>
      <c r="E20" s="15"/>
      <c r="F20" s="15"/>
      <c r="G20" s="15"/>
      <c r="H20" s="16"/>
      <c r="I20" s="16"/>
      <c r="J20" s="16"/>
      <c r="K20" s="15"/>
      <c r="L20" s="15"/>
    </row>
    <row r="21" customFormat="false" ht="14.6" hidden="false" customHeight="false" outlineLevel="0" collapsed="false">
      <c r="D21" s="15"/>
      <c r="E21" s="15"/>
      <c r="F21" s="15"/>
      <c r="G21" s="15"/>
      <c r="H21" s="16"/>
      <c r="I21" s="16"/>
      <c r="J21" s="16"/>
      <c r="K21" s="15"/>
      <c r="L21" s="15"/>
    </row>
    <row r="22" customFormat="false" ht="14.6" hidden="false" customHeight="false" outlineLevel="0" collapsed="false">
      <c r="D22" s="15"/>
      <c r="E22" s="15"/>
      <c r="F22" s="15"/>
      <c r="G22" s="15"/>
      <c r="H22" s="16"/>
      <c r="I22" s="16" t="s">
        <v>83</v>
      </c>
      <c r="J22" s="24" t="n">
        <f aca="false">J11+J12+J13+G19</f>
        <v>5966.5</v>
      </c>
      <c r="K22" s="24"/>
      <c r="L22" s="15"/>
    </row>
    <row r="23" customFormat="false" ht="14.6" hidden="false" customHeight="false" outlineLevel="0" collapsed="false">
      <c r="D23" s="15"/>
      <c r="E23" s="15"/>
      <c r="F23" s="15"/>
      <c r="G23" s="15"/>
      <c r="H23" s="16"/>
      <c r="I23" s="16" t="s">
        <v>85</v>
      </c>
      <c r="J23" s="25" t="n">
        <f aca="false">VLOOKUP(F12,sem2,8)</f>
        <v>77.175</v>
      </c>
      <c r="K23" s="25"/>
      <c r="L23" s="15"/>
    </row>
    <row r="24" customFormat="false" ht="14.6" hidden="false" customHeight="false" outlineLevel="0" collapsed="false">
      <c r="D24" s="15"/>
      <c r="E24" s="15"/>
      <c r="F24" s="15"/>
      <c r="G24" s="15"/>
      <c r="H24" s="15"/>
      <c r="I24" s="15" t="s">
        <v>86</v>
      </c>
      <c r="J24" s="26" t="n">
        <f aca="false">J22-J19</f>
        <v>5889.325</v>
      </c>
      <c r="K24" s="26"/>
      <c r="L24" s="15"/>
    </row>
    <row r="25" customFormat="false" ht="14.6" hidden="false" customHeight="false" outlineLevel="0" collapsed="false">
      <c r="D25" s="15"/>
      <c r="E25" s="15"/>
      <c r="F25" s="15"/>
      <c r="G25" s="15"/>
      <c r="H25" s="15"/>
      <c r="I25" s="15"/>
      <c r="J25" s="15"/>
      <c r="K25" s="15"/>
      <c r="L25" s="15"/>
    </row>
    <row r="26" customFormat="false" ht="14.6" hidden="false" customHeight="false" outlineLevel="0" collapsed="false">
      <c r="D26" s="15"/>
      <c r="E26" s="15"/>
      <c r="F26" s="15"/>
      <c r="G26" s="15"/>
      <c r="H26" s="15"/>
      <c r="I26" s="15"/>
      <c r="J26" s="15"/>
      <c r="K26" s="15"/>
      <c r="L26" s="15"/>
    </row>
    <row r="27" customFormat="false" ht="14.6" hidden="false" customHeight="false" outlineLevel="0" collapsed="false">
      <c r="D27" s="15"/>
      <c r="E27" s="15"/>
      <c r="F27" s="15"/>
      <c r="G27" s="15"/>
      <c r="H27" s="15"/>
      <c r="I27" s="15"/>
      <c r="J27" s="15"/>
      <c r="K27" s="15"/>
      <c r="L27" s="15"/>
    </row>
  </sheetData>
  <mergeCells count="14">
    <mergeCell ref="J11:K11"/>
    <mergeCell ref="F12:G12"/>
    <mergeCell ref="J12:K12"/>
    <mergeCell ref="F13:G13"/>
    <mergeCell ref="J13:K13"/>
    <mergeCell ref="F14:G14"/>
    <mergeCell ref="F15:G15"/>
    <mergeCell ref="F16:G16"/>
    <mergeCell ref="F17:G17"/>
    <mergeCell ref="F18:G18"/>
    <mergeCell ref="J19:K19"/>
    <mergeCell ref="J22:K22"/>
    <mergeCell ref="J23:K23"/>
    <mergeCell ref="J24:K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LibreOffice/5.1.4.2$Linux_x86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2004-06-01T08:10:32Z</dcterms:created>
  <dc:creator>MUNICIPIO DE GUADALAJARA</dc:creator>
  <dc:description/>
  <dc:language>es-MX</dc:language>
  <cp:lastModifiedBy/>
  <dcterms:modified xsi:type="dcterms:W3CDTF">2017-05-05T09:23:31Z</dcterms:modified>
  <cp:revision>7</cp:revision>
  <dc:subject/>
  <dc:title/>
</cp:coreProperties>
</file>